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20520" windowHeight="7560" tabRatio="539" activeTab="0"/>
  </bookViews>
  <sheets>
    <sheet name="concrete&amp;steel " sheetId="1" r:id="rId1"/>
  </sheets>
  <definedNames/>
  <calcPr fullCalcOnLoad="1"/>
</workbook>
</file>

<file path=xl/sharedStrings.xml><?xml version="1.0" encoding="utf-8"?>
<sst xmlns="http://schemas.openxmlformats.org/spreadsheetml/2006/main" count="376" uniqueCount="215">
  <si>
    <t>F1</t>
  </si>
  <si>
    <t>F2</t>
  </si>
  <si>
    <t>F3</t>
  </si>
  <si>
    <t>F4</t>
  </si>
  <si>
    <t>F5</t>
  </si>
  <si>
    <t>Inventory amounts of reinforced concrete (Footing)</t>
  </si>
  <si>
    <t>Footing</t>
  </si>
  <si>
    <t>L</t>
  </si>
  <si>
    <t>B</t>
  </si>
  <si>
    <t>h</t>
  </si>
  <si>
    <t>no~</t>
  </si>
  <si>
    <t>Dimension of reinfocement concrete</t>
  </si>
  <si>
    <t>V</t>
  </si>
  <si>
    <t>m3</t>
  </si>
  <si>
    <t>m</t>
  </si>
  <si>
    <t>~</t>
  </si>
  <si>
    <t>L'</t>
  </si>
  <si>
    <t>B'</t>
  </si>
  <si>
    <t>h'</t>
  </si>
  <si>
    <t>Modal</t>
  </si>
  <si>
    <t>Core</t>
  </si>
  <si>
    <t>Sw3</t>
  </si>
  <si>
    <t>Long Steel rebar</t>
  </si>
  <si>
    <t>Ls(m)</t>
  </si>
  <si>
    <t>No~/m'</t>
  </si>
  <si>
    <t>Ø</t>
  </si>
  <si>
    <t>Own weight</t>
  </si>
  <si>
    <t>Total rebar</t>
  </si>
  <si>
    <t>mm</t>
  </si>
  <si>
    <t>ton</t>
  </si>
  <si>
    <t>Bs(m)</t>
  </si>
  <si>
    <t>Short Steel rebar</t>
  </si>
  <si>
    <t>concrete volume C300</t>
  </si>
  <si>
    <t>concrete volume C200</t>
  </si>
  <si>
    <t xml:space="preserve">Slab </t>
  </si>
  <si>
    <t>S1</t>
  </si>
  <si>
    <t>S2</t>
  </si>
  <si>
    <t>S3</t>
  </si>
  <si>
    <t>S4</t>
  </si>
  <si>
    <t>m2</t>
  </si>
  <si>
    <t>close</t>
  </si>
  <si>
    <t>open</t>
  </si>
  <si>
    <t xml:space="preserve">h hourdis </t>
  </si>
  <si>
    <t>Concrete V.net</t>
  </si>
  <si>
    <t>No~ hourdis one way</t>
  </si>
  <si>
    <t>Total Vconc.=</t>
  </si>
  <si>
    <t>Hollow block Slab.</t>
  </si>
  <si>
    <t>1-</t>
  </si>
  <si>
    <t>2-</t>
  </si>
  <si>
    <t>3-</t>
  </si>
  <si>
    <t>no~ floor</t>
  </si>
  <si>
    <t xml:space="preserve">4- </t>
  </si>
  <si>
    <t>R1</t>
  </si>
  <si>
    <t>R2</t>
  </si>
  <si>
    <t>R3</t>
  </si>
  <si>
    <t>R4</t>
  </si>
  <si>
    <t>R5</t>
  </si>
  <si>
    <t>R8</t>
  </si>
  <si>
    <t>R6</t>
  </si>
  <si>
    <t>R7</t>
  </si>
  <si>
    <t>R9</t>
  </si>
  <si>
    <t>R10</t>
  </si>
  <si>
    <t>R11</t>
  </si>
  <si>
    <t>R12</t>
  </si>
  <si>
    <t>R13</t>
  </si>
  <si>
    <t>R14</t>
  </si>
  <si>
    <t>R15</t>
  </si>
  <si>
    <t>No~</t>
  </si>
  <si>
    <t>L m</t>
  </si>
  <si>
    <t>Rib</t>
  </si>
  <si>
    <t xml:space="preserve"> name</t>
  </si>
  <si>
    <t>Floor</t>
  </si>
  <si>
    <t>Total</t>
  </si>
  <si>
    <t>weight</t>
  </si>
  <si>
    <t>Total=</t>
  </si>
  <si>
    <t>Total Wst.=</t>
  </si>
  <si>
    <t>Ømm</t>
  </si>
  <si>
    <t>total:</t>
  </si>
  <si>
    <t>steel</t>
  </si>
  <si>
    <t xml:space="preserve">Steel rib of hourdis Slab </t>
  </si>
  <si>
    <r>
      <t>Steel+</t>
    </r>
    <r>
      <rPr>
        <sz val="10"/>
        <rFont val="Calibri"/>
        <family val="2"/>
      </rPr>
      <t>Ø6&amp;&amp;</t>
    </r>
    <r>
      <rPr>
        <sz val="10"/>
        <rFont val="Arial"/>
        <family val="2"/>
      </rPr>
      <t>8mm</t>
    </r>
  </si>
  <si>
    <t>Top steel Rib</t>
  </si>
  <si>
    <t>Bottom steel Rib</t>
  </si>
  <si>
    <t xml:space="preserve">Steel beam of hourdis Slab </t>
  </si>
  <si>
    <t>beam</t>
  </si>
  <si>
    <t>Beam</t>
  </si>
  <si>
    <t>Top steel Beam</t>
  </si>
  <si>
    <t>Bottom steel Beam</t>
  </si>
  <si>
    <r>
      <t>Steel+stirrups</t>
    </r>
    <r>
      <rPr>
        <sz val="10"/>
        <rFont val="Calibri"/>
        <family val="2"/>
      </rPr>
      <t>Ø</t>
    </r>
    <r>
      <rPr>
        <sz val="10"/>
        <rFont val="Arial"/>
        <family val="2"/>
      </rPr>
      <t>8mm</t>
    </r>
  </si>
  <si>
    <t>Columns concrete &amp;Steel</t>
  </si>
  <si>
    <t>Column</t>
  </si>
  <si>
    <t>C1</t>
  </si>
  <si>
    <t>C2</t>
  </si>
  <si>
    <t>C3</t>
  </si>
  <si>
    <t>C4</t>
  </si>
  <si>
    <t>W4</t>
  </si>
  <si>
    <t>Dimension</t>
  </si>
  <si>
    <t xml:space="preserve"> Volume of</t>
  </si>
  <si>
    <t>concrete</t>
  </si>
  <si>
    <t>cm</t>
  </si>
  <si>
    <t>Vertical Steel Bar</t>
  </si>
  <si>
    <t xml:space="preserve">No~ </t>
  </si>
  <si>
    <t>rebar</t>
  </si>
  <si>
    <t xml:space="preserve"> Weight</t>
  </si>
  <si>
    <t>Horizontal Steel Bar</t>
  </si>
  <si>
    <t>no~ of</t>
  </si>
  <si>
    <t>columns</t>
  </si>
  <si>
    <t>Dimension of  blinding concrete</t>
  </si>
  <si>
    <t xml:space="preserve">no~ </t>
  </si>
  <si>
    <t>no~rebar</t>
  </si>
  <si>
    <t>o.w=</t>
  </si>
  <si>
    <r>
      <rPr>
        <b/>
        <sz val="10"/>
        <rFont val="Arial"/>
        <family val="2"/>
      </rPr>
      <t>ton</t>
    </r>
    <r>
      <rPr>
        <sz val="10"/>
        <rFont val="Arial"/>
        <family val="2"/>
      </rPr>
      <t xml:space="preserve"> without 6mm</t>
    </r>
  </si>
  <si>
    <t>B32</t>
  </si>
  <si>
    <t>B41</t>
  </si>
  <si>
    <t>B42</t>
  </si>
  <si>
    <t>B43</t>
  </si>
  <si>
    <t>B51</t>
  </si>
  <si>
    <t>B52</t>
  </si>
  <si>
    <t>B53</t>
  </si>
  <si>
    <t>SBR1</t>
  </si>
  <si>
    <t>SBR11</t>
  </si>
  <si>
    <t>SBR2</t>
  </si>
  <si>
    <t>SBR21</t>
  </si>
  <si>
    <t>SBR22</t>
  </si>
  <si>
    <t>SBR3</t>
  </si>
  <si>
    <t>SBR31</t>
  </si>
  <si>
    <t>B34</t>
  </si>
  <si>
    <t>Chapeau</t>
  </si>
  <si>
    <t>without</t>
  </si>
  <si>
    <t>C5</t>
  </si>
  <si>
    <t>Area</t>
  </si>
  <si>
    <t>h slab</t>
  </si>
  <si>
    <t>Fw2</t>
  </si>
  <si>
    <t>Fw3</t>
  </si>
  <si>
    <t>B1</t>
  </si>
  <si>
    <t>B2</t>
  </si>
  <si>
    <t>B3</t>
  </si>
  <si>
    <t>B4</t>
  </si>
  <si>
    <t>B5</t>
  </si>
  <si>
    <t>L(m)</t>
  </si>
  <si>
    <t>h (m)</t>
  </si>
  <si>
    <t>b (m)</t>
  </si>
  <si>
    <t>Vm3</t>
  </si>
  <si>
    <t>SM1</t>
  </si>
  <si>
    <t>SM2</t>
  </si>
  <si>
    <t>SM3</t>
  </si>
  <si>
    <t xml:space="preserve">number </t>
  </si>
  <si>
    <t>TOP 12mm</t>
  </si>
  <si>
    <t>BOT14mm</t>
  </si>
  <si>
    <t>WEIGHT  As(kg)</t>
  </si>
  <si>
    <t>Total:</t>
  </si>
  <si>
    <t>Concrete</t>
  </si>
  <si>
    <t>Semells</t>
  </si>
  <si>
    <t>Steel=</t>
  </si>
  <si>
    <t>name</t>
  </si>
  <si>
    <t>TON</t>
  </si>
  <si>
    <t>Steel</t>
  </si>
  <si>
    <t>Rw2</t>
  </si>
  <si>
    <t xml:space="preserve">steel weight </t>
  </si>
  <si>
    <t xml:space="preserve">ton </t>
  </si>
  <si>
    <t>B6</t>
  </si>
  <si>
    <t>B7</t>
  </si>
  <si>
    <t>B8</t>
  </si>
  <si>
    <t>B9</t>
  </si>
  <si>
    <t>Thick.</t>
  </si>
  <si>
    <t>Wide</t>
  </si>
  <si>
    <t xml:space="preserve">Beam </t>
  </si>
  <si>
    <t>Name</t>
  </si>
  <si>
    <t>Top</t>
  </si>
  <si>
    <t>Bottom</t>
  </si>
  <si>
    <t>Diameter</t>
  </si>
  <si>
    <t>Beam schedule</t>
  </si>
  <si>
    <t>6T14mm</t>
  </si>
  <si>
    <t>6T12mm</t>
  </si>
  <si>
    <t>Stirrups n</t>
  </si>
  <si>
    <t>8T14mm</t>
  </si>
  <si>
    <t>8T16mm</t>
  </si>
  <si>
    <t>8T12mm</t>
  </si>
  <si>
    <t>6T16mm</t>
  </si>
  <si>
    <t>4t 8mm</t>
  </si>
  <si>
    <t>3t 8mm</t>
  </si>
  <si>
    <t>6T10mm</t>
  </si>
  <si>
    <t>5T12mm</t>
  </si>
  <si>
    <t xml:space="preserve"> 2t 8mm</t>
  </si>
  <si>
    <t xml:space="preserve"> 3t 8mm</t>
  </si>
  <si>
    <t>SW1</t>
  </si>
  <si>
    <t>Sw1</t>
  </si>
  <si>
    <t>Rw1</t>
  </si>
  <si>
    <t>SH1</t>
  </si>
  <si>
    <t>Solid slab</t>
  </si>
  <si>
    <t>Raft  foundation</t>
  </si>
  <si>
    <t>RFT1</t>
  </si>
  <si>
    <t>Area of one floor=</t>
  </si>
  <si>
    <t>Number of floor=</t>
  </si>
  <si>
    <t>Volume Concrete=</t>
  </si>
  <si>
    <t>Area of warkah=</t>
  </si>
  <si>
    <t>Weight of Ma3joun =</t>
  </si>
  <si>
    <t>kg(3face)</t>
  </si>
  <si>
    <t>litre(3face)</t>
  </si>
  <si>
    <t>VolumePaints (Inter.plastic)</t>
  </si>
  <si>
    <t>Painting</t>
  </si>
  <si>
    <t>Mortar Concrete (war2h)</t>
  </si>
  <si>
    <t>Total Volume Concrete In Project</t>
  </si>
  <si>
    <t>depth of excavation</t>
  </si>
  <si>
    <t xml:space="preserve">Area of plan  building </t>
  </si>
  <si>
    <t>no. floor</t>
  </si>
  <si>
    <t>weight of all building</t>
  </si>
  <si>
    <t xml:space="preserve">density of soil : </t>
  </si>
  <si>
    <t>t/m2</t>
  </si>
  <si>
    <t>Depth of excavation</t>
  </si>
  <si>
    <t xml:space="preserve">Kind of Foundation: </t>
  </si>
  <si>
    <t>stress of building</t>
  </si>
  <si>
    <t>ton/m2</t>
  </si>
  <si>
    <t>qall</t>
  </si>
  <si>
    <t>coefficient @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</si>
</sst>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name val="Berlin Sans FB"/>
      <family val="2"/>
    </font>
    <font>
      <sz val="10"/>
      <name val="Berlin Sans FB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1"/>
      <color indexed="18"/>
      <name val="Arial"/>
      <family val="2"/>
    </font>
    <font>
      <b/>
      <sz val="10"/>
      <color indexed="30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3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rgb="FF0070C0"/>
      <name val="Arial"/>
      <family val="2"/>
    </font>
    <font>
      <b/>
      <sz val="12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FF00"/>
      <name val="Arial"/>
      <family val="2"/>
    </font>
    <font>
      <b/>
      <i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7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0" fillId="13" borderId="22" xfId="0" applyFont="1" applyFill="1" applyBorder="1" applyAlignment="1">
      <alignment/>
    </xf>
    <xf numFmtId="0" fontId="80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2" fillId="36" borderId="10" xfId="0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178" fontId="83" fillId="0" borderId="16" xfId="0" applyNumberFormat="1" applyFont="1" applyBorder="1" applyAlignment="1">
      <alignment horizontal="center"/>
    </xf>
    <xf numFmtId="178" fontId="83" fillId="0" borderId="24" xfId="0" applyNumberFormat="1" applyFont="1" applyBorder="1" applyAlignment="1">
      <alignment horizontal="center"/>
    </xf>
    <xf numFmtId="178" fontId="83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8" fillId="0" borderId="0" xfId="0" applyFont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" fillId="39" borderId="36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9" borderId="16" xfId="0" applyFont="1" applyFill="1" applyBorder="1" applyAlignment="1">
      <alignment/>
    </xf>
    <xf numFmtId="0" fontId="2" fillId="9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8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0" fontId="13" fillId="3" borderId="0" xfId="0" applyFont="1" applyFill="1" applyBorder="1" applyAlignment="1">
      <alignment/>
    </xf>
    <xf numFmtId="178" fontId="1" fillId="0" borderId="4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33" borderId="33" xfId="0" applyFont="1" applyFill="1" applyBorder="1" applyAlignment="1">
      <alignment/>
    </xf>
    <xf numFmtId="0" fontId="1" fillId="41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41" borderId="16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84" fillId="0" borderId="48" xfId="0" applyFont="1" applyFill="1" applyBorder="1" applyAlignment="1">
      <alignment horizontal="center" vertical="center"/>
    </xf>
    <xf numFmtId="0" fontId="84" fillId="0" borderId="49" xfId="0" applyFont="1" applyBorder="1" applyAlignment="1">
      <alignment/>
    </xf>
    <xf numFmtId="0" fontId="1" fillId="13" borderId="33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0" borderId="50" xfId="0" applyFont="1" applyFill="1" applyBorder="1" applyAlignment="1">
      <alignment horizontal="center" vertical="center"/>
    </xf>
    <xf numFmtId="0" fontId="83" fillId="0" borderId="51" xfId="0" applyFont="1" applyBorder="1" applyAlignment="1">
      <alignment/>
    </xf>
    <xf numFmtId="0" fontId="1" fillId="17" borderId="26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3" borderId="33" xfId="0" applyFont="1" applyFill="1" applyBorder="1" applyAlignment="1">
      <alignment/>
    </xf>
    <xf numFmtId="0" fontId="1" fillId="13" borderId="21" xfId="0" applyFont="1" applyFill="1" applyBorder="1" applyAlignment="1">
      <alignment/>
    </xf>
    <xf numFmtId="0" fontId="8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6" fillId="0" borderId="0" xfId="0" applyFont="1" applyAlignment="1">
      <alignment/>
    </xf>
    <xf numFmtId="0" fontId="10" fillId="41" borderId="16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82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82" fillId="0" borderId="18" xfId="0" applyFont="1" applyBorder="1" applyAlignment="1">
      <alignment horizontal="center"/>
    </xf>
    <xf numFmtId="0" fontId="1" fillId="19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1" fillId="0" borderId="45" xfId="0" applyFont="1" applyBorder="1" applyAlignment="1">
      <alignment/>
    </xf>
    <xf numFmtId="0" fontId="1" fillId="19" borderId="41" xfId="0" applyFont="1" applyFill="1" applyBorder="1" applyAlignment="1">
      <alignment horizontal="center" vertical="center"/>
    </xf>
    <xf numFmtId="0" fontId="0" fillId="19" borderId="49" xfId="0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5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7" borderId="53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87" fillId="0" borderId="32" xfId="0" applyFont="1" applyBorder="1" applyAlignment="1">
      <alignment/>
    </xf>
    <xf numFmtId="0" fontId="88" fillId="0" borderId="5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" fillId="43" borderId="50" xfId="0" applyFont="1" applyFill="1" applyBorder="1" applyAlignment="1">
      <alignment/>
    </xf>
    <xf numFmtId="0" fontId="1" fillId="43" borderId="51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4" fillId="44" borderId="55" xfId="0" applyFont="1" applyFill="1" applyBorder="1" applyAlignment="1">
      <alignment/>
    </xf>
    <xf numFmtId="0" fontId="18" fillId="44" borderId="50" xfId="0" applyFont="1" applyFill="1" applyBorder="1" applyAlignment="1">
      <alignment horizontal="center"/>
    </xf>
    <xf numFmtId="0" fontId="18" fillId="44" borderId="50" xfId="0" applyFont="1" applyFill="1" applyBorder="1" applyAlignment="1">
      <alignment horizontal="center" vertical="center"/>
    </xf>
    <xf numFmtId="0" fontId="10" fillId="44" borderId="51" xfId="0" applyFont="1" applyFill="1" applyBorder="1" applyAlignment="1">
      <alignment horizontal="center" vertical="center"/>
    </xf>
    <xf numFmtId="0" fontId="18" fillId="44" borderId="5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84" fillId="0" borderId="41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84" fillId="0" borderId="49" xfId="0" applyFont="1" applyBorder="1" applyAlignment="1">
      <alignment horizontal="left" vertical="center"/>
    </xf>
    <xf numFmtId="0" fontId="88" fillId="0" borderId="15" xfId="0" applyFont="1" applyBorder="1" applyAlignment="1">
      <alignment horizontal="center" vertical="center"/>
    </xf>
    <xf numFmtId="0" fontId="89" fillId="0" borderId="56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1" fillId="33" borderId="21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178" fontId="92" fillId="0" borderId="10" xfId="0" applyNumberFormat="1" applyFont="1" applyBorder="1" applyAlignment="1">
      <alignment horizontal="center"/>
    </xf>
    <xf numFmtId="0" fontId="92" fillId="36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/>
    </xf>
    <xf numFmtId="178" fontId="92" fillId="0" borderId="24" xfId="0" applyNumberFormat="1" applyFont="1" applyBorder="1" applyAlignment="1">
      <alignment horizontal="center"/>
    </xf>
    <xf numFmtId="0" fontId="2" fillId="43" borderId="57" xfId="0" applyFont="1" applyFill="1" applyBorder="1" applyAlignment="1">
      <alignment horizontal="left" vertical="center"/>
    </xf>
    <xf numFmtId="0" fontId="6" fillId="43" borderId="58" xfId="0" applyFont="1" applyFill="1" applyBorder="1" applyAlignment="1">
      <alignment horizontal="left" vertical="center"/>
    </xf>
    <xf numFmtId="0" fontId="6" fillId="43" borderId="57" xfId="0" applyFont="1" applyFill="1" applyBorder="1" applyAlignment="1">
      <alignment horizontal="left" vertical="center"/>
    </xf>
    <xf numFmtId="0" fontId="6" fillId="43" borderId="30" xfId="0" applyFont="1" applyFill="1" applyBorder="1" applyAlignment="1">
      <alignment horizontal="left" vertical="center"/>
    </xf>
    <xf numFmtId="0" fontId="2" fillId="37" borderId="3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45" borderId="23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/>
    </xf>
    <xf numFmtId="0" fontId="2" fillId="45" borderId="16" xfId="0" applyFont="1" applyFill="1" applyBorder="1" applyAlignment="1">
      <alignment horizontal="center" vertical="center"/>
    </xf>
    <xf numFmtId="0" fontId="2" fillId="46" borderId="18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46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46" borderId="20" xfId="0" applyFont="1" applyFill="1" applyBorder="1" applyAlignment="1">
      <alignment horizontal="right"/>
    </xf>
    <xf numFmtId="0" fontId="1" fillId="17" borderId="26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3" borderId="56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/>
    </xf>
    <xf numFmtId="0" fontId="11" fillId="4" borderId="32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15" fillId="10" borderId="0" xfId="0" applyFont="1" applyFill="1" applyAlignment="1">
      <alignment/>
    </xf>
    <xf numFmtId="0" fontId="15" fillId="37" borderId="0" xfId="0" applyFont="1" applyFill="1" applyAlignment="1">
      <alignment/>
    </xf>
    <xf numFmtId="0" fontId="14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0" fillId="0" borderId="61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/>
    </xf>
    <xf numFmtId="0" fontId="80" fillId="0" borderId="48" xfId="0" applyFont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0" fontId="14" fillId="0" borderId="33" xfId="0" applyFont="1" applyBorder="1" applyAlignment="1">
      <alignment/>
    </xf>
    <xf numFmtId="0" fontId="14" fillId="0" borderId="23" xfId="0" applyFont="1" applyBorder="1" applyAlignment="1">
      <alignment/>
    </xf>
    <xf numFmtId="0" fontId="80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1" xfId="0" applyFont="1" applyBorder="1" applyAlignment="1">
      <alignment/>
    </xf>
    <xf numFmtId="0" fontId="11" fillId="13" borderId="16" xfId="0" applyFont="1" applyFill="1" applyBorder="1" applyAlignment="1">
      <alignment/>
    </xf>
    <xf numFmtId="0" fontId="11" fillId="13" borderId="18" xfId="0" applyFont="1" applyFill="1" applyBorder="1" applyAlignment="1">
      <alignment/>
    </xf>
    <xf numFmtId="0" fontId="14" fillId="0" borderId="36" xfId="0" applyFont="1" applyBorder="1" applyAlignment="1">
      <alignment/>
    </xf>
    <xf numFmtId="0" fontId="14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95" fillId="0" borderId="55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9" fillId="0" borderId="6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41" borderId="57" xfId="0" applyFont="1" applyFill="1" applyBorder="1" applyAlignment="1">
      <alignment horizontal="center" vertical="center"/>
    </xf>
    <xf numFmtId="0" fontId="1" fillId="41" borderId="30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" fillId="43" borderId="55" xfId="0" applyFont="1" applyFill="1" applyBorder="1" applyAlignment="1">
      <alignment horizontal="center"/>
    </xf>
    <xf numFmtId="0" fontId="1" fillId="43" borderId="5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15" borderId="26" xfId="0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41" borderId="23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0" fillId="34" borderId="65" xfId="0" applyFont="1" applyFill="1" applyBorder="1" applyAlignment="1">
      <alignment horizontal="center"/>
    </xf>
    <xf numFmtId="0" fontId="10" fillId="34" borderId="61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84" fillId="0" borderId="4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5" fillId="33" borderId="0" xfId="0" applyFont="1" applyFill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1" fillId="5" borderId="56" xfId="0" applyFont="1" applyFill="1" applyBorder="1" applyAlignment="1">
      <alignment horizontal="left"/>
    </xf>
    <xf numFmtId="0" fontId="11" fillId="5" borderId="3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163</xdr:row>
      <xdr:rowOff>66675</xdr:rowOff>
    </xdr:from>
    <xdr:to>
      <xdr:col>9</xdr:col>
      <xdr:colOff>390525</xdr:colOff>
      <xdr:row>178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31442025"/>
          <a:ext cx="24955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176</xdr:row>
      <xdr:rowOff>190500</xdr:rowOff>
    </xdr:from>
    <xdr:to>
      <xdr:col>9</xdr:col>
      <xdr:colOff>561975</xdr:colOff>
      <xdr:row>181</xdr:row>
      <xdr:rowOff>38100</xdr:rowOff>
    </xdr:to>
    <xdr:sp>
      <xdr:nvSpPr>
        <xdr:cNvPr id="2" name="Elbow Connector 6"/>
        <xdr:cNvSpPr>
          <a:spLocks/>
        </xdr:cNvSpPr>
      </xdr:nvSpPr>
      <xdr:spPr>
        <a:xfrm>
          <a:off x="2990850" y="34051875"/>
          <a:ext cx="3276600" cy="838200"/>
        </a:xfrm>
        <a:prstGeom prst="bentConnector3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169</xdr:row>
      <xdr:rowOff>85725</xdr:rowOff>
    </xdr:from>
    <xdr:to>
      <xdr:col>6</xdr:col>
      <xdr:colOff>219075</xdr:colOff>
      <xdr:row>169</xdr:row>
      <xdr:rowOff>85725</xdr:rowOff>
    </xdr:to>
    <xdr:sp>
      <xdr:nvSpPr>
        <xdr:cNvPr id="3" name="Straight Arrow Connector 9"/>
        <xdr:cNvSpPr>
          <a:spLocks/>
        </xdr:cNvSpPr>
      </xdr:nvSpPr>
      <xdr:spPr>
        <a:xfrm>
          <a:off x="3009900" y="32623125"/>
          <a:ext cx="80010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552450</xdr:colOff>
      <xdr:row>164</xdr:row>
      <xdr:rowOff>76200</xdr:rowOff>
    </xdr:from>
    <xdr:to>
      <xdr:col>16</xdr:col>
      <xdr:colOff>247650</xdr:colOff>
      <xdr:row>181</xdr:row>
      <xdr:rowOff>38100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31613475"/>
          <a:ext cx="42100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0"/>
  <sheetViews>
    <sheetView tabSelected="1" zoomScaleSheetLayoutView="100" zoomScalePageLayoutView="48" workbookViewId="0" topLeftCell="A1">
      <selection activeCell="A2" sqref="A2"/>
    </sheetView>
  </sheetViews>
  <sheetFormatPr defaultColWidth="9.140625" defaultRowHeight="12.75"/>
  <cols>
    <col min="4" max="4" width="9.7109375" style="0" customWidth="1"/>
    <col min="5" max="5" width="8.00390625" style="0" customWidth="1"/>
    <col min="6" max="6" width="8.7109375" style="0" customWidth="1"/>
    <col min="7" max="7" width="11.7109375" style="0" customWidth="1"/>
    <col min="8" max="8" width="10.421875" style="0" customWidth="1"/>
    <col min="9" max="9" width="9.57421875" style="0" customWidth="1"/>
    <col min="11" max="11" width="11.140625" style="0" customWidth="1"/>
    <col min="12" max="12" width="7.8515625" style="0" customWidth="1"/>
    <col min="13" max="13" width="12.140625" style="0" customWidth="1"/>
  </cols>
  <sheetData>
    <row r="2" spans="2:13" ht="19.5">
      <c r="B2" s="151"/>
      <c r="C2" s="151"/>
      <c r="D2" s="237" t="s">
        <v>5</v>
      </c>
      <c r="E2" s="154"/>
      <c r="F2" s="154"/>
      <c r="G2" s="154"/>
      <c r="H2" s="154"/>
      <c r="I2" s="154"/>
      <c r="J2" s="161"/>
      <c r="K2" s="151"/>
      <c r="L2" s="151"/>
      <c r="M2" s="151"/>
    </row>
    <row r="3" spans="2:13" ht="13.5" thickBo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6.5" thickBot="1">
      <c r="A4" s="16" t="s">
        <v>47</v>
      </c>
      <c r="B4" s="333" t="s">
        <v>11</v>
      </c>
      <c r="C4" s="334"/>
      <c r="D4" s="334"/>
      <c r="E4" s="334"/>
      <c r="F4" s="334"/>
      <c r="G4" s="335"/>
      <c r="H4" s="331" t="s">
        <v>107</v>
      </c>
      <c r="I4" s="331"/>
      <c r="J4" s="331"/>
      <c r="K4" s="331"/>
      <c r="L4" s="331"/>
      <c r="M4" s="332"/>
    </row>
    <row r="5" spans="2:13" ht="15.75">
      <c r="B5" s="336" t="s">
        <v>6</v>
      </c>
      <c r="C5" s="48" t="s">
        <v>7</v>
      </c>
      <c r="D5" s="48" t="s">
        <v>8</v>
      </c>
      <c r="E5" s="48" t="s">
        <v>9</v>
      </c>
      <c r="F5" s="48" t="s">
        <v>10</v>
      </c>
      <c r="G5" s="48" t="s">
        <v>12</v>
      </c>
      <c r="H5" s="338" t="s">
        <v>6</v>
      </c>
      <c r="I5" s="48" t="s">
        <v>16</v>
      </c>
      <c r="J5" s="48" t="s">
        <v>17</v>
      </c>
      <c r="K5" s="48" t="s">
        <v>18</v>
      </c>
      <c r="L5" s="61" t="s">
        <v>10</v>
      </c>
      <c r="M5" s="49" t="s">
        <v>12</v>
      </c>
    </row>
    <row r="6" spans="2:13" ht="15">
      <c r="B6" s="337"/>
      <c r="C6" s="155" t="s">
        <v>14</v>
      </c>
      <c r="D6" s="155" t="s">
        <v>14</v>
      </c>
      <c r="E6" s="155" t="s">
        <v>14</v>
      </c>
      <c r="F6" s="155" t="s">
        <v>15</v>
      </c>
      <c r="G6" s="60" t="s">
        <v>13</v>
      </c>
      <c r="H6" s="339"/>
      <c r="I6" s="155" t="s">
        <v>14</v>
      </c>
      <c r="J6" s="155" t="s">
        <v>14</v>
      </c>
      <c r="K6" s="155" t="s">
        <v>14</v>
      </c>
      <c r="L6" s="156" t="s">
        <v>15</v>
      </c>
      <c r="M6" s="59" t="s">
        <v>13</v>
      </c>
    </row>
    <row r="7" spans="2:13" ht="15.75">
      <c r="B7" s="153" t="s">
        <v>0</v>
      </c>
      <c r="C7" s="2">
        <v>1.75</v>
      </c>
      <c r="D7" s="2">
        <v>1.5</v>
      </c>
      <c r="E7" s="2">
        <v>0.5</v>
      </c>
      <c r="F7" s="2">
        <v>5</v>
      </c>
      <c r="G7" s="157">
        <f aca="true" t="shared" si="0" ref="G7:G15">C7*D7*E7*F7</f>
        <v>6.5625</v>
      </c>
      <c r="H7" s="158" t="str">
        <f>B7</f>
        <v>F1</v>
      </c>
      <c r="I7" s="3">
        <f>C7+0.2</f>
        <v>1.95</v>
      </c>
      <c r="J7" s="3">
        <f>D7+0.2</f>
        <v>1.7</v>
      </c>
      <c r="K7" s="3">
        <v>0.1</v>
      </c>
      <c r="L7" s="2">
        <f>F7</f>
        <v>5</v>
      </c>
      <c r="M7" s="159">
        <f aca="true" t="shared" si="1" ref="M7:M15">I7*J7*K7*L7</f>
        <v>1.6575000000000002</v>
      </c>
    </row>
    <row r="8" spans="2:13" ht="15.75">
      <c r="B8" s="153" t="s">
        <v>1</v>
      </c>
      <c r="C8" s="2">
        <v>2.65</v>
      </c>
      <c r="D8" s="2">
        <v>2.05</v>
      </c>
      <c r="E8" s="2">
        <v>0.5</v>
      </c>
      <c r="F8" s="2">
        <v>5</v>
      </c>
      <c r="G8" s="157">
        <f t="shared" si="0"/>
        <v>13.581249999999997</v>
      </c>
      <c r="H8" s="158" t="str">
        <f aca="true" t="shared" si="2" ref="H8:H15">B8</f>
        <v>F2</v>
      </c>
      <c r="I8" s="3">
        <f aca="true" t="shared" si="3" ref="I8:I15">C8+0.2</f>
        <v>2.85</v>
      </c>
      <c r="J8" s="3">
        <f aca="true" t="shared" si="4" ref="J8:J15">D8+0.2</f>
        <v>2.25</v>
      </c>
      <c r="K8" s="3">
        <f>K7</f>
        <v>0.1</v>
      </c>
      <c r="L8" s="2">
        <f aca="true" t="shared" si="5" ref="L8:L15">F8</f>
        <v>5</v>
      </c>
      <c r="M8" s="160">
        <f t="shared" si="1"/>
        <v>3.2062500000000007</v>
      </c>
    </row>
    <row r="9" spans="2:13" ht="15.75">
      <c r="B9" s="153" t="s">
        <v>2</v>
      </c>
      <c r="C9" s="2">
        <v>2.8</v>
      </c>
      <c r="D9" s="2">
        <v>2.3</v>
      </c>
      <c r="E9" s="2">
        <v>0.5</v>
      </c>
      <c r="F9" s="2">
        <v>1</v>
      </c>
      <c r="G9" s="157">
        <f t="shared" si="0"/>
        <v>3.2199999999999998</v>
      </c>
      <c r="H9" s="158" t="str">
        <f t="shared" si="2"/>
        <v>F3</v>
      </c>
      <c r="I9" s="3">
        <f t="shared" si="3"/>
        <v>3</v>
      </c>
      <c r="J9" s="3">
        <f t="shared" si="4"/>
        <v>2.5</v>
      </c>
      <c r="K9" s="3">
        <f aca="true" t="shared" si="6" ref="K9:K15">K8</f>
        <v>0.1</v>
      </c>
      <c r="L9" s="2">
        <f t="shared" si="5"/>
        <v>1</v>
      </c>
      <c r="M9" s="160">
        <f t="shared" si="1"/>
        <v>0.75</v>
      </c>
    </row>
    <row r="10" spans="2:13" ht="15.75">
      <c r="B10" s="153" t="s">
        <v>3</v>
      </c>
      <c r="C10" s="2">
        <v>0</v>
      </c>
      <c r="D10" s="2">
        <v>0</v>
      </c>
      <c r="E10" s="2">
        <v>0.5</v>
      </c>
      <c r="F10" s="2">
        <v>1</v>
      </c>
      <c r="G10" s="157">
        <f t="shared" si="0"/>
        <v>0</v>
      </c>
      <c r="H10" s="158" t="str">
        <f t="shared" si="2"/>
        <v>F4</v>
      </c>
      <c r="I10" s="3">
        <f t="shared" si="3"/>
        <v>0.2</v>
      </c>
      <c r="J10" s="3">
        <f t="shared" si="4"/>
        <v>0.2</v>
      </c>
      <c r="K10" s="3">
        <f t="shared" si="6"/>
        <v>0.1</v>
      </c>
      <c r="L10" s="2">
        <f t="shared" si="5"/>
        <v>1</v>
      </c>
      <c r="M10" s="160">
        <f t="shared" si="1"/>
        <v>0.004000000000000001</v>
      </c>
    </row>
    <row r="11" spans="2:13" ht="15.75">
      <c r="B11" s="153" t="s">
        <v>4</v>
      </c>
      <c r="C11" s="2">
        <v>0</v>
      </c>
      <c r="D11" s="2">
        <v>0</v>
      </c>
      <c r="E11" s="2">
        <v>0</v>
      </c>
      <c r="F11" s="2">
        <v>0</v>
      </c>
      <c r="G11" s="157">
        <f t="shared" si="0"/>
        <v>0</v>
      </c>
      <c r="H11" s="158" t="str">
        <f t="shared" si="2"/>
        <v>F5</v>
      </c>
      <c r="I11" s="3">
        <f t="shared" si="3"/>
        <v>0.2</v>
      </c>
      <c r="J11" s="3">
        <f t="shared" si="4"/>
        <v>0.2</v>
      </c>
      <c r="K11" s="3">
        <f t="shared" si="6"/>
        <v>0.1</v>
      </c>
      <c r="L11" s="2">
        <f t="shared" si="5"/>
        <v>0</v>
      </c>
      <c r="M11" s="160">
        <f t="shared" si="1"/>
        <v>0</v>
      </c>
    </row>
    <row r="12" spans="2:13" ht="15.75">
      <c r="B12" s="254" t="s">
        <v>20</v>
      </c>
      <c r="C12" s="255">
        <v>5.45</v>
      </c>
      <c r="D12" s="255">
        <v>4.2</v>
      </c>
      <c r="E12" s="255">
        <v>0.5</v>
      </c>
      <c r="F12" s="255">
        <v>1</v>
      </c>
      <c r="G12" s="256">
        <f t="shared" si="0"/>
        <v>11.445</v>
      </c>
      <c r="H12" s="257" t="str">
        <f t="shared" si="2"/>
        <v>Core</v>
      </c>
      <c r="I12" s="258">
        <f t="shared" si="3"/>
        <v>5.65</v>
      </c>
      <c r="J12" s="258">
        <f t="shared" si="4"/>
        <v>4.4</v>
      </c>
      <c r="K12" s="258">
        <f t="shared" si="6"/>
        <v>0.1</v>
      </c>
      <c r="L12" s="255">
        <f t="shared" si="5"/>
        <v>1</v>
      </c>
      <c r="M12" s="259">
        <f t="shared" si="1"/>
        <v>2.4860000000000007</v>
      </c>
    </row>
    <row r="13" spans="2:13" ht="15.75">
      <c r="B13" s="254" t="s">
        <v>187</v>
      </c>
      <c r="C13" s="255">
        <v>16.85</v>
      </c>
      <c r="D13" s="255">
        <v>1.2</v>
      </c>
      <c r="E13" s="255">
        <v>0.5</v>
      </c>
      <c r="F13" s="255">
        <v>1</v>
      </c>
      <c r="G13" s="256">
        <f t="shared" si="0"/>
        <v>10.110000000000001</v>
      </c>
      <c r="H13" s="257" t="str">
        <f t="shared" si="2"/>
        <v>Rw1</v>
      </c>
      <c r="I13" s="258">
        <f t="shared" si="3"/>
        <v>17.05</v>
      </c>
      <c r="J13" s="258">
        <f t="shared" si="4"/>
        <v>1.4</v>
      </c>
      <c r="K13" s="258">
        <f t="shared" si="6"/>
        <v>0.1</v>
      </c>
      <c r="L13" s="255">
        <f t="shared" si="5"/>
        <v>1</v>
      </c>
      <c r="M13" s="259">
        <f t="shared" si="1"/>
        <v>2.387</v>
      </c>
    </row>
    <row r="14" spans="2:13" ht="15.75">
      <c r="B14" s="40" t="s">
        <v>132</v>
      </c>
      <c r="C14" s="2">
        <v>0</v>
      </c>
      <c r="D14" s="2">
        <v>0</v>
      </c>
      <c r="E14" s="2">
        <v>0.6</v>
      </c>
      <c r="F14" s="2">
        <v>1</v>
      </c>
      <c r="G14" s="157">
        <f t="shared" si="0"/>
        <v>0</v>
      </c>
      <c r="H14" s="53" t="str">
        <f t="shared" si="2"/>
        <v>Fw2</v>
      </c>
      <c r="I14" s="3">
        <f t="shared" si="3"/>
        <v>0.2</v>
      </c>
      <c r="J14" s="3">
        <f t="shared" si="4"/>
        <v>0.2</v>
      </c>
      <c r="K14" s="3">
        <f t="shared" si="6"/>
        <v>0.1</v>
      </c>
      <c r="L14" s="2">
        <f t="shared" si="5"/>
        <v>1</v>
      </c>
      <c r="M14" s="57">
        <f t="shared" si="1"/>
        <v>0.004000000000000001</v>
      </c>
    </row>
    <row r="15" spans="2:13" ht="16.5" thickBot="1">
      <c r="B15" s="42" t="s">
        <v>133</v>
      </c>
      <c r="C15" s="50">
        <v>0</v>
      </c>
      <c r="D15" s="50">
        <v>0</v>
      </c>
      <c r="E15" s="50">
        <v>0.6</v>
      </c>
      <c r="F15" s="50">
        <v>1</v>
      </c>
      <c r="G15" s="56">
        <f t="shared" si="0"/>
        <v>0</v>
      </c>
      <c r="H15" s="54" t="str">
        <f t="shared" si="2"/>
        <v>Fw3</v>
      </c>
      <c r="I15" s="51">
        <f t="shared" si="3"/>
        <v>0.2</v>
      </c>
      <c r="J15" s="51">
        <f t="shared" si="4"/>
        <v>0.2</v>
      </c>
      <c r="K15" s="51">
        <f t="shared" si="6"/>
        <v>0.1</v>
      </c>
      <c r="L15" s="52">
        <f t="shared" si="5"/>
        <v>1</v>
      </c>
      <c r="M15" s="58">
        <f t="shared" si="1"/>
        <v>0.004000000000000001</v>
      </c>
    </row>
    <row r="16" spans="2:13" ht="16.5" thickBot="1">
      <c r="B16" s="4"/>
      <c r="C16" s="4"/>
      <c r="D16" s="4"/>
      <c r="E16" s="4"/>
      <c r="F16" s="62" t="s">
        <v>77</v>
      </c>
      <c r="G16" s="162">
        <f>SUM(G7:G15)</f>
        <v>44.918749999999996</v>
      </c>
      <c r="H16" s="151"/>
      <c r="I16" s="151"/>
      <c r="J16" s="151"/>
      <c r="K16" s="151"/>
      <c r="L16" s="18" t="s">
        <v>77</v>
      </c>
      <c r="M16" s="162">
        <f>SUM(M7:M15)</f>
        <v>10.498750000000001</v>
      </c>
    </row>
    <row r="17" spans="6:13" ht="12.75">
      <c r="F17" s="163"/>
      <c r="G17" s="163" t="s">
        <v>32</v>
      </c>
      <c r="H17" s="163"/>
      <c r="I17" s="151"/>
      <c r="J17" s="151"/>
      <c r="K17" s="151"/>
      <c r="L17" s="320" t="s">
        <v>33</v>
      </c>
      <c r="M17" s="320"/>
    </row>
    <row r="18" ht="13.5" thickBot="1"/>
    <row r="19" spans="1:13" ht="15.75">
      <c r="A19" s="17" t="s">
        <v>48</v>
      </c>
      <c r="B19" s="11" t="s">
        <v>6</v>
      </c>
      <c r="C19" s="354" t="s">
        <v>22</v>
      </c>
      <c r="D19" s="355"/>
      <c r="E19" s="356"/>
      <c r="F19" s="12" t="s">
        <v>25</v>
      </c>
      <c r="G19" s="26" t="s">
        <v>26</v>
      </c>
      <c r="H19" s="11" t="s">
        <v>6</v>
      </c>
      <c r="I19" s="351" t="s">
        <v>31</v>
      </c>
      <c r="J19" s="352"/>
      <c r="K19" s="353"/>
      <c r="L19" s="12" t="s">
        <v>25</v>
      </c>
      <c r="M19" s="26" t="s">
        <v>26</v>
      </c>
    </row>
    <row r="20" spans="2:13" ht="13.5" thickBot="1">
      <c r="B20" s="13"/>
      <c r="C20" s="24" t="s">
        <v>23</v>
      </c>
      <c r="D20" s="24" t="s">
        <v>24</v>
      </c>
      <c r="E20" s="24" t="s">
        <v>27</v>
      </c>
      <c r="F20" s="28" t="s">
        <v>28</v>
      </c>
      <c r="G20" s="27" t="s">
        <v>29</v>
      </c>
      <c r="H20" s="13"/>
      <c r="I20" s="25" t="s">
        <v>30</v>
      </c>
      <c r="J20" s="25" t="s">
        <v>24</v>
      </c>
      <c r="K20" s="25" t="s">
        <v>27</v>
      </c>
      <c r="L20" s="28" t="s">
        <v>28</v>
      </c>
      <c r="M20" s="27" t="s">
        <v>29</v>
      </c>
    </row>
    <row r="21" spans="2:13" ht="15">
      <c r="B21" s="231" t="s">
        <v>0</v>
      </c>
      <c r="C21" s="66">
        <f aca="true" t="shared" si="7" ref="C21:C29">(C7-0.15)+(2*E7-0.3)</f>
        <v>2.3</v>
      </c>
      <c r="D21" s="66">
        <v>6</v>
      </c>
      <c r="E21" s="66">
        <f aca="true" t="shared" si="8" ref="E21:E29">INT(D7*D21)+2</f>
        <v>11</v>
      </c>
      <c r="F21" s="66">
        <v>14</v>
      </c>
      <c r="G21" s="66">
        <f aca="true" t="shared" si="9" ref="G21:G29">ROUND(24.67*(F21*10^-3/2)^2*E21*C21,3)*F7</f>
        <v>0.155</v>
      </c>
      <c r="H21" s="232" t="s">
        <v>0</v>
      </c>
      <c r="I21" s="66">
        <f aca="true" t="shared" si="10" ref="I21:I29">(D7-0.15)+(2*E7-0.3)</f>
        <v>2.05</v>
      </c>
      <c r="J21" s="66">
        <v>6</v>
      </c>
      <c r="K21" s="66">
        <f aca="true" t="shared" si="11" ref="K21:K29">INT(C7*J21)+2</f>
        <v>12</v>
      </c>
      <c r="L21" s="66">
        <v>12</v>
      </c>
      <c r="M21" s="98">
        <f aca="true" t="shared" si="12" ref="M21:M29">ROUND(24.67*(L21*10^-3/2)^2*K21*I21,3)*F7</f>
        <v>0.10999999999999999</v>
      </c>
    </row>
    <row r="22" spans="2:13" ht="15">
      <c r="B22" s="153" t="s">
        <v>1</v>
      </c>
      <c r="C22" s="60">
        <f t="shared" si="7"/>
        <v>3.2</v>
      </c>
      <c r="D22" s="60">
        <v>6</v>
      </c>
      <c r="E22" s="60">
        <f t="shared" si="8"/>
        <v>14</v>
      </c>
      <c r="F22" s="60">
        <v>14</v>
      </c>
      <c r="G22" s="60">
        <f t="shared" si="9"/>
        <v>0.27</v>
      </c>
      <c r="H22" s="233" t="s">
        <v>1</v>
      </c>
      <c r="I22" s="230">
        <f t="shared" si="10"/>
        <v>2.5999999999999996</v>
      </c>
      <c r="J22" s="60">
        <v>6</v>
      </c>
      <c r="K22" s="230">
        <f t="shared" si="11"/>
        <v>17</v>
      </c>
      <c r="L22" s="60">
        <v>12</v>
      </c>
      <c r="M22" s="59">
        <f t="shared" si="12"/>
        <v>0.195</v>
      </c>
    </row>
    <row r="23" spans="2:13" ht="15">
      <c r="B23" s="153" t="s">
        <v>2</v>
      </c>
      <c r="C23" s="60">
        <f t="shared" si="7"/>
        <v>3.3499999999999996</v>
      </c>
      <c r="D23" s="60">
        <v>7</v>
      </c>
      <c r="E23" s="60">
        <f t="shared" si="8"/>
        <v>18</v>
      </c>
      <c r="F23" s="60">
        <v>12</v>
      </c>
      <c r="G23" s="60">
        <f t="shared" si="9"/>
        <v>0.054</v>
      </c>
      <c r="H23" s="5" t="s">
        <v>2</v>
      </c>
      <c r="I23" s="230">
        <f t="shared" si="10"/>
        <v>2.8499999999999996</v>
      </c>
      <c r="J23" s="60">
        <v>7</v>
      </c>
      <c r="K23" s="230">
        <f t="shared" si="11"/>
        <v>21</v>
      </c>
      <c r="L23" s="60">
        <v>12</v>
      </c>
      <c r="M23" s="59">
        <f t="shared" si="12"/>
        <v>0.053</v>
      </c>
    </row>
    <row r="24" spans="2:13" ht="15">
      <c r="B24" s="40" t="s">
        <v>3</v>
      </c>
      <c r="C24" s="60">
        <f t="shared" si="7"/>
        <v>0.5499999999999999</v>
      </c>
      <c r="D24" s="60">
        <v>0</v>
      </c>
      <c r="E24" s="60">
        <f t="shared" si="8"/>
        <v>2</v>
      </c>
      <c r="F24" s="60">
        <v>14</v>
      </c>
      <c r="G24" s="60">
        <f t="shared" si="9"/>
        <v>0.001</v>
      </c>
      <c r="H24" s="5" t="s">
        <v>3</v>
      </c>
      <c r="I24" s="230">
        <f t="shared" si="10"/>
        <v>0.5499999999999999</v>
      </c>
      <c r="J24" s="60">
        <v>9</v>
      </c>
      <c r="K24" s="230">
        <f t="shared" si="11"/>
        <v>2</v>
      </c>
      <c r="L24" s="60">
        <v>14</v>
      </c>
      <c r="M24" s="59">
        <f t="shared" si="12"/>
        <v>0.001</v>
      </c>
    </row>
    <row r="25" spans="2:13" ht="15">
      <c r="B25" s="40" t="s">
        <v>4</v>
      </c>
      <c r="C25" s="60">
        <f t="shared" si="7"/>
        <v>-0.44999999999999996</v>
      </c>
      <c r="D25" s="8">
        <v>0</v>
      </c>
      <c r="E25" s="9">
        <f t="shared" si="8"/>
        <v>2</v>
      </c>
      <c r="F25" s="8">
        <v>14</v>
      </c>
      <c r="G25" s="9">
        <f t="shared" si="9"/>
        <v>0</v>
      </c>
      <c r="H25" s="5" t="s">
        <v>4</v>
      </c>
      <c r="I25" s="10">
        <f t="shared" si="10"/>
        <v>-0.44999999999999996</v>
      </c>
      <c r="J25" s="8">
        <v>0</v>
      </c>
      <c r="K25" s="10">
        <f t="shared" si="11"/>
        <v>2</v>
      </c>
      <c r="L25" s="8">
        <v>14</v>
      </c>
      <c r="M25" s="41">
        <f t="shared" si="12"/>
        <v>0</v>
      </c>
    </row>
    <row r="26" spans="2:13" ht="15">
      <c r="B26" s="153" t="s">
        <v>20</v>
      </c>
      <c r="C26" s="60">
        <f t="shared" si="7"/>
        <v>6</v>
      </c>
      <c r="D26" s="60">
        <v>7</v>
      </c>
      <c r="E26" s="60">
        <f t="shared" si="8"/>
        <v>31</v>
      </c>
      <c r="F26" s="60">
        <v>14</v>
      </c>
      <c r="G26" s="60">
        <f t="shared" si="9"/>
        <v>0.225</v>
      </c>
      <c r="H26" s="233" t="s">
        <v>20</v>
      </c>
      <c r="I26" s="230">
        <f t="shared" si="10"/>
        <v>4.75</v>
      </c>
      <c r="J26" s="60">
        <v>7</v>
      </c>
      <c r="K26" s="230">
        <f t="shared" si="11"/>
        <v>40</v>
      </c>
      <c r="L26" s="60">
        <v>16</v>
      </c>
      <c r="M26" s="59">
        <f t="shared" si="12"/>
        <v>0.3</v>
      </c>
    </row>
    <row r="27" spans="2:13" ht="15">
      <c r="B27" s="153" t="s">
        <v>187</v>
      </c>
      <c r="C27" s="60">
        <f t="shared" si="7"/>
        <v>17.400000000000002</v>
      </c>
      <c r="D27" s="60">
        <v>5</v>
      </c>
      <c r="E27" s="60">
        <f t="shared" si="8"/>
        <v>8</v>
      </c>
      <c r="F27" s="60">
        <v>12</v>
      </c>
      <c r="G27" s="60">
        <f t="shared" si="9"/>
        <v>0.124</v>
      </c>
      <c r="H27" s="233" t="s">
        <v>186</v>
      </c>
      <c r="I27" s="230">
        <f t="shared" si="10"/>
        <v>1.75</v>
      </c>
      <c r="J27" s="60">
        <v>7</v>
      </c>
      <c r="K27" s="230">
        <f t="shared" si="11"/>
        <v>119</v>
      </c>
      <c r="L27" s="60">
        <v>14</v>
      </c>
      <c r="M27" s="59">
        <f t="shared" si="12"/>
        <v>0.252</v>
      </c>
    </row>
    <row r="28" spans="2:13" ht="15">
      <c r="B28" s="153" t="s">
        <v>157</v>
      </c>
      <c r="C28" s="60">
        <f t="shared" si="7"/>
        <v>0.7499999999999999</v>
      </c>
      <c r="D28" s="60">
        <v>0</v>
      </c>
      <c r="E28" s="60">
        <f t="shared" si="8"/>
        <v>2</v>
      </c>
      <c r="F28" s="60">
        <v>12</v>
      </c>
      <c r="G28" s="60">
        <f t="shared" si="9"/>
        <v>0.001</v>
      </c>
      <c r="H28" s="233" t="s">
        <v>157</v>
      </c>
      <c r="I28" s="230">
        <f t="shared" si="10"/>
        <v>0.7499999999999999</v>
      </c>
      <c r="J28" s="60">
        <v>0</v>
      </c>
      <c r="K28" s="230">
        <f t="shared" si="11"/>
        <v>2</v>
      </c>
      <c r="L28" s="60">
        <v>14</v>
      </c>
      <c r="M28" s="59">
        <f t="shared" si="12"/>
        <v>0.002</v>
      </c>
    </row>
    <row r="29" spans="2:13" ht="15.75" thickBot="1">
      <c r="B29" s="42" t="s">
        <v>21</v>
      </c>
      <c r="C29" s="43">
        <f t="shared" si="7"/>
        <v>0.7499999999999999</v>
      </c>
      <c r="D29" s="44">
        <v>0</v>
      </c>
      <c r="E29" s="43">
        <f t="shared" si="8"/>
        <v>2</v>
      </c>
      <c r="F29" s="44">
        <v>14</v>
      </c>
      <c r="G29" s="43">
        <f t="shared" si="9"/>
        <v>0.002</v>
      </c>
      <c r="H29" s="45" t="s">
        <v>21</v>
      </c>
      <c r="I29" s="46">
        <f t="shared" si="10"/>
        <v>0.7499999999999999</v>
      </c>
      <c r="J29" s="44">
        <v>0</v>
      </c>
      <c r="K29" s="46">
        <f t="shared" si="11"/>
        <v>2</v>
      </c>
      <c r="L29" s="44">
        <v>16</v>
      </c>
      <c r="M29" s="47">
        <f t="shared" si="12"/>
        <v>0.002</v>
      </c>
    </row>
    <row r="30" spans="2:13" ht="15.75" thickBot="1">
      <c r="B30" s="7"/>
      <c r="C30" s="7"/>
      <c r="D30" s="7"/>
      <c r="E30" s="7"/>
      <c r="F30" s="148"/>
      <c r="G30" s="234">
        <f>SUM(G21:G29)</f>
        <v>0.8320000000000001</v>
      </c>
      <c r="H30" s="148"/>
      <c r="I30" s="148"/>
      <c r="J30" s="148"/>
      <c r="K30" s="148"/>
      <c r="L30" s="148"/>
      <c r="M30" s="234">
        <f>SUM(M21:M29)</f>
        <v>0.915</v>
      </c>
    </row>
    <row r="31" spans="2:13" ht="13.5" thickBot="1">
      <c r="B31" s="7"/>
      <c r="C31" s="7"/>
      <c r="D31" s="7"/>
      <c r="E31" s="7"/>
      <c r="F31" s="148"/>
      <c r="G31" s="148"/>
      <c r="H31" s="148"/>
      <c r="I31" s="148"/>
      <c r="J31" s="148"/>
      <c r="K31" s="148"/>
      <c r="L31" s="148"/>
      <c r="M31" s="148"/>
    </row>
    <row r="32" spans="6:13" ht="16.5" thickBot="1">
      <c r="F32" s="75" t="s">
        <v>156</v>
      </c>
      <c r="G32" s="348" t="s">
        <v>75</v>
      </c>
      <c r="H32" s="349"/>
      <c r="I32" s="235">
        <f>ROUND(G30+M30,1)</f>
        <v>1.7</v>
      </c>
      <c r="J32" s="236" t="s">
        <v>29</v>
      </c>
      <c r="K32" s="75"/>
      <c r="L32" s="75"/>
      <c r="M32" s="75"/>
    </row>
    <row r="33" spans="2:9" ht="15.75" customHeight="1">
      <c r="B33" s="164"/>
      <c r="C33" s="164"/>
      <c r="D33" s="164"/>
      <c r="E33" s="363" t="s">
        <v>46</v>
      </c>
      <c r="F33" s="363"/>
      <c r="G33" s="363"/>
      <c r="H33" s="72"/>
      <c r="I33" s="164"/>
    </row>
    <row r="34" spans="2:9" ht="15.75" customHeight="1" thickBot="1">
      <c r="B34" s="164"/>
      <c r="C34" s="164"/>
      <c r="D34" s="164"/>
      <c r="E34" s="164"/>
      <c r="F34" s="164"/>
      <c r="G34" s="164"/>
      <c r="H34" s="164"/>
      <c r="I34" s="164"/>
    </row>
    <row r="35" spans="1:10" ht="15.75" customHeight="1">
      <c r="A35" s="16" t="s">
        <v>49</v>
      </c>
      <c r="B35" s="165" t="s">
        <v>34</v>
      </c>
      <c r="C35" s="166" t="s">
        <v>130</v>
      </c>
      <c r="D35" s="357" t="s">
        <v>44</v>
      </c>
      <c r="E35" s="358"/>
      <c r="F35" s="55" t="s">
        <v>131</v>
      </c>
      <c r="G35" s="177" t="s">
        <v>42</v>
      </c>
      <c r="H35" s="346" t="s">
        <v>43</v>
      </c>
      <c r="I35" s="347"/>
      <c r="J35" s="226" t="s">
        <v>156</v>
      </c>
    </row>
    <row r="36" spans="2:10" ht="15.75" customHeight="1" thickBot="1">
      <c r="B36" s="167" t="s">
        <v>19</v>
      </c>
      <c r="C36" s="168" t="s">
        <v>39</v>
      </c>
      <c r="D36" s="178" t="s">
        <v>41</v>
      </c>
      <c r="E36" s="178" t="s">
        <v>40</v>
      </c>
      <c r="F36" s="169" t="s">
        <v>14</v>
      </c>
      <c r="G36" s="179" t="s">
        <v>14</v>
      </c>
      <c r="H36" s="170" t="s">
        <v>50</v>
      </c>
      <c r="I36" s="171" t="s">
        <v>13</v>
      </c>
      <c r="J36" s="227" t="s">
        <v>155</v>
      </c>
    </row>
    <row r="37" spans="2:10" ht="15.75" customHeight="1">
      <c r="B37" s="176" t="s">
        <v>188</v>
      </c>
      <c r="C37" s="73">
        <v>395</v>
      </c>
      <c r="D37" s="73">
        <f>CEILING(C37*5*0.8,10)</f>
        <v>1580</v>
      </c>
      <c r="E37" s="73">
        <f>CEILING(C37*5*0.2,10)</f>
        <v>400</v>
      </c>
      <c r="F37" s="73">
        <v>0.22</v>
      </c>
      <c r="G37" s="73">
        <v>0.18</v>
      </c>
      <c r="H37" s="73">
        <v>1</v>
      </c>
      <c r="I37" s="223">
        <f>ROUND(H37*((C37*F37)-((D37+E37)*G37*0.08)),1)</f>
        <v>58.4</v>
      </c>
      <c r="J37" s="60">
        <f>ROUND(I37*0.15,1)</f>
        <v>8.8</v>
      </c>
    </row>
    <row r="38" spans="2:10" ht="15.75" customHeight="1">
      <c r="B38" s="172" t="s">
        <v>36</v>
      </c>
      <c r="C38" s="15">
        <v>0</v>
      </c>
      <c r="D38" s="173">
        <f>CEILING(C38*5.5*0.8,10)</f>
        <v>0</v>
      </c>
      <c r="E38" s="173">
        <f>CEILING(C38*5.5*0.2,10)</f>
        <v>0</v>
      </c>
      <c r="F38" s="252">
        <f aca="true" t="shared" si="13" ref="F38:H40">F37</f>
        <v>0.22</v>
      </c>
      <c r="G38" s="252">
        <f t="shared" si="13"/>
        <v>0.18</v>
      </c>
      <c r="H38" s="173">
        <f t="shared" si="13"/>
        <v>1</v>
      </c>
      <c r="I38" s="224">
        <f>H38*((C38*F38)-((D38+E38)*G38*0.08))</f>
        <v>0</v>
      </c>
      <c r="J38" s="9">
        <f>ROUND(I38*0.15,2)</f>
        <v>0</v>
      </c>
    </row>
    <row r="39" spans="2:10" ht="15.75" customHeight="1">
      <c r="B39" s="172" t="s">
        <v>37</v>
      </c>
      <c r="C39" s="15">
        <v>0</v>
      </c>
      <c r="D39" s="173">
        <f>CEILING(C39*5.5*0.8,10)</f>
        <v>0</v>
      </c>
      <c r="E39" s="173">
        <f>CEILING(C39*5.5*0.2,10)</f>
        <v>0</v>
      </c>
      <c r="F39" s="252">
        <f t="shared" si="13"/>
        <v>0.22</v>
      </c>
      <c r="G39" s="252">
        <f t="shared" si="13"/>
        <v>0.18</v>
      </c>
      <c r="H39" s="173">
        <f t="shared" si="13"/>
        <v>1</v>
      </c>
      <c r="I39" s="224">
        <f>H39*((C39*F39)-((D39+E39)*G39*0.08))</f>
        <v>0</v>
      </c>
      <c r="J39" s="9">
        <f>ROUND(I39*0.15,2)</f>
        <v>0</v>
      </c>
    </row>
    <row r="40" spans="2:10" ht="15.75" customHeight="1" thickBot="1">
      <c r="B40" s="180" t="s">
        <v>38</v>
      </c>
      <c r="C40" s="38">
        <v>0</v>
      </c>
      <c r="D40" s="181">
        <f>CEILING(C40*5.5*0.8,10)</f>
        <v>0</v>
      </c>
      <c r="E40" s="181">
        <f>CEILING(C40*5.5*0.2,10)</f>
        <v>0</v>
      </c>
      <c r="F40" s="253">
        <f t="shared" si="13"/>
        <v>0.22</v>
      </c>
      <c r="G40" s="253">
        <f t="shared" si="13"/>
        <v>0.18</v>
      </c>
      <c r="H40" s="181">
        <f t="shared" si="13"/>
        <v>1</v>
      </c>
      <c r="I40" s="225">
        <f>H40*((C40*F40)-((D40+E40)*G40*0.08))</f>
        <v>0</v>
      </c>
      <c r="J40" s="9">
        <f>ROUND(I40*0.15,2)</f>
        <v>0</v>
      </c>
    </row>
    <row r="41" spans="2:9" ht="15.75" customHeight="1" thickBot="1">
      <c r="B41" s="164"/>
      <c r="C41" s="182">
        <f>SUM(C37:C40)</f>
        <v>395</v>
      </c>
      <c r="D41" s="164"/>
      <c r="E41" s="164"/>
      <c r="F41" s="164"/>
      <c r="G41" s="164"/>
      <c r="H41" s="164"/>
      <c r="I41" s="164"/>
    </row>
    <row r="42" spans="2:9" ht="15.75" customHeight="1" thickBot="1">
      <c r="B42" s="164"/>
      <c r="C42" s="164"/>
      <c r="D42" s="164"/>
      <c r="E42" s="164"/>
      <c r="F42" s="164"/>
      <c r="G42" s="229" t="s">
        <v>45</v>
      </c>
      <c r="H42" s="183">
        <f>ROUND(SUM(I37:I40),1)</f>
        <v>58.4</v>
      </c>
      <c r="I42" s="184" t="s">
        <v>13</v>
      </c>
    </row>
    <row r="43" spans="4:9" ht="15.75" customHeight="1" thickBot="1">
      <c r="D43" s="1"/>
      <c r="E43" s="1"/>
      <c r="G43" s="250" t="s">
        <v>156</v>
      </c>
      <c r="H43" s="251">
        <f>ROUND(SUM(J37:J40),1)</f>
        <v>8.8</v>
      </c>
      <c r="I43" s="228" t="s">
        <v>159</v>
      </c>
    </row>
    <row r="44" spans="4:13" ht="15.75" customHeight="1">
      <c r="D44" s="1"/>
      <c r="E44" s="1"/>
      <c r="M44" s="75"/>
    </row>
    <row r="45" spans="2:13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5">
      <c r="A46" s="6" t="s">
        <v>51</v>
      </c>
      <c r="B46" s="16"/>
      <c r="C46" s="16"/>
      <c r="D46" s="16"/>
      <c r="E46" s="16"/>
      <c r="F46" s="350" t="s">
        <v>79</v>
      </c>
      <c r="G46" s="350"/>
      <c r="H46" s="350"/>
      <c r="I46" s="78"/>
      <c r="J46" s="16"/>
      <c r="K46" s="16"/>
      <c r="L46" s="16"/>
      <c r="M46" s="16"/>
    </row>
    <row r="47" spans="2:13" ht="15.75" thickBo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5">
      <c r="B48" s="79" t="s">
        <v>69</v>
      </c>
      <c r="C48" s="80" t="s">
        <v>67</v>
      </c>
      <c r="D48" s="340" t="s">
        <v>81</v>
      </c>
      <c r="E48" s="341"/>
      <c r="F48" s="342"/>
      <c r="G48" s="81" t="s">
        <v>26</v>
      </c>
      <c r="H48" s="343" t="s">
        <v>82</v>
      </c>
      <c r="I48" s="344"/>
      <c r="J48" s="345"/>
      <c r="K48" s="82" t="s">
        <v>26</v>
      </c>
      <c r="L48" s="83" t="s">
        <v>10</v>
      </c>
      <c r="M48" s="84" t="s">
        <v>72</v>
      </c>
    </row>
    <row r="49" spans="2:13" ht="15.75" thickBot="1">
      <c r="B49" s="85" t="s">
        <v>70</v>
      </c>
      <c r="C49" s="86" t="s">
        <v>69</v>
      </c>
      <c r="D49" s="87" t="s">
        <v>76</v>
      </c>
      <c r="E49" s="88" t="s">
        <v>68</v>
      </c>
      <c r="F49" s="87" t="s">
        <v>109</v>
      </c>
      <c r="G49" s="89" t="s">
        <v>29</v>
      </c>
      <c r="H49" s="90" t="s">
        <v>76</v>
      </c>
      <c r="I49" s="91" t="s">
        <v>68</v>
      </c>
      <c r="J49" s="90" t="s">
        <v>109</v>
      </c>
      <c r="K49" s="92" t="s">
        <v>29</v>
      </c>
      <c r="L49" s="93" t="s">
        <v>71</v>
      </c>
      <c r="M49" s="94" t="s">
        <v>73</v>
      </c>
    </row>
    <row r="50" spans="2:13" ht="15">
      <c r="B50" s="95" t="s">
        <v>52</v>
      </c>
      <c r="C50" s="66">
        <v>7</v>
      </c>
      <c r="D50" s="66">
        <v>10</v>
      </c>
      <c r="E50" s="66">
        <v>4.25</v>
      </c>
      <c r="F50" s="66">
        <v>2</v>
      </c>
      <c r="G50" s="66">
        <f>ROUND(24.67*(D50*10^-3/2)^2*F50*C50*E50,3)</f>
        <v>0.037</v>
      </c>
      <c r="H50" s="66">
        <v>12</v>
      </c>
      <c r="I50" s="66">
        <v>4.25</v>
      </c>
      <c r="J50" s="66">
        <v>2</v>
      </c>
      <c r="K50" s="96">
        <f>ROUND(24.67*(H50*10^-3/2)^2*J50*C50*I50,3)</f>
        <v>0.053</v>
      </c>
      <c r="L50" s="97">
        <v>1</v>
      </c>
      <c r="M50" s="98">
        <f>(G50+K50)*L50</f>
        <v>0.09</v>
      </c>
    </row>
    <row r="51" spans="2:13" ht="15">
      <c r="B51" s="99" t="s">
        <v>53</v>
      </c>
      <c r="C51" s="60">
        <v>4</v>
      </c>
      <c r="D51" s="60">
        <v>14</v>
      </c>
      <c r="E51" s="60">
        <v>7</v>
      </c>
      <c r="F51" s="60">
        <f>F50</f>
        <v>2</v>
      </c>
      <c r="G51" s="60">
        <f aca="true" t="shared" si="14" ref="G51:G63">ROUND(24.67*(D51*10^-3/2)^2*F51*C51*E51,3)</f>
        <v>0.068</v>
      </c>
      <c r="H51" s="60">
        <f>H50</f>
        <v>12</v>
      </c>
      <c r="I51" s="60">
        <v>7</v>
      </c>
      <c r="J51" s="60">
        <f>J50</f>
        <v>2</v>
      </c>
      <c r="K51" s="100">
        <f aca="true" t="shared" si="15" ref="K51:K64">ROUND(24.67*(H51*10^-3/2)^2*J51*C51*I51,3)</f>
        <v>0.05</v>
      </c>
      <c r="L51" s="60">
        <f>L50</f>
        <v>1</v>
      </c>
      <c r="M51" s="59">
        <f aca="true" t="shared" si="16" ref="M51:M64">(G51+K51)*L51</f>
        <v>0.11800000000000001</v>
      </c>
    </row>
    <row r="52" spans="2:13" ht="15">
      <c r="B52" s="99" t="s">
        <v>54</v>
      </c>
      <c r="C52" s="60">
        <v>4</v>
      </c>
      <c r="D52" s="60">
        <v>10</v>
      </c>
      <c r="E52" s="60">
        <v>4.5</v>
      </c>
      <c r="F52" s="60">
        <f aca="true" t="shared" si="17" ref="F52:F63">F51</f>
        <v>2</v>
      </c>
      <c r="G52" s="60">
        <f t="shared" si="14"/>
        <v>0.022</v>
      </c>
      <c r="H52" s="60">
        <f aca="true" t="shared" si="18" ref="H52:H64">H51</f>
        <v>12</v>
      </c>
      <c r="I52" s="60">
        <v>4.5</v>
      </c>
      <c r="J52" s="60">
        <f aca="true" t="shared" si="19" ref="J52:J64">J51</f>
        <v>2</v>
      </c>
      <c r="K52" s="100">
        <f t="shared" si="15"/>
        <v>0.032</v>
      </c>
      <c r="L52" s="60">
        <f aca="true" t="shared" si="20" ref="L52:L64">L51</f>
        <v>1</v>
      </c>
      <c r="M52" s="59">
        <f t="shared" si="16"/>
        <v>0.054</v>
      </c>
    </row>
    <row r="53" spans="2:13" ht="15">
      <c r="B53" s="99" t="s">
        <v>55</v>
      </c>
      <c r="C53" s="60">
        <v>6</v>
      </c>
      <c r="D53" s="60">
        <v>10</v>
      </c>
      <c r="E53" s="60">
        <v>4</v>
      </c>
      <c r="F53" s="60">
        <v>2</v>
      </c>
      <c r="G53" s="60">
        <f t="shared" si="14"/>
        <v>0.03</v>
      </c>
      <c r="H53" s="60">
        <v>12</v>
      </c>
      <c r="I53" s="60">
        <v>4</v>
      </c>
      <c r="J53" s="60">
        <f t="shared" si="19"/>
        <v>2</v>
      </c>
      <c r="K53" s="100">
        <f t="shared" si="15"/>
        <v>0.043</v>
      </c>
      <c r="L53" s="60">
        <f t="shared" si="20"/>
        <v>1</v>
      </c>
      <c r="M53" s="59">
        <f t="shared" si="16"/>
        <v>0.073</v>
      </c>
    </row>
    <row r="54" spans="2:13" ht="15">
      <c r="B54" s="31" t="s">
        <v>56</v>
      </c>
      <c r="C54" s="60">
        <v>6</v>
      </c>
      <c r="D54" s="60">
        <v>10</v>
      </c>
      <c r="E54" s="60">
        <v>4.5</v>
      </c>
      <c r="F54" s="60">
        <v>2</v>
      </c>
      <c r="G54" s="60">
        <f t="shared" si="14"/>
        <v>0.033</v>
      </c>
      <c r="H54" s="60">
        <v>10</v>
      </c>
      <c r="I54" s="60">
        <v>3.5</v>
      </c>
      <c r="J54" s="60">
        <f t="shared" si="19"/>
        <v>2</v>
      </c>
      <c r="K54" s="100">
        <f t="shared" si="15"/>
        <v>0.026</v>
      </c>
      <c r="L54" s="60">
        <f t="shared" si="20"/>
        <v>1</v>
      </c>
      <c r="M54" s="59">
        <f t="shared" si="16"/>
        <v>0.059</v>
      </c>
    </row>
    <row r="55" spans="2:13" ht="15">
      <c r="B55" s="31" t="s">
        <v>58</v>
      </c>
      <c r="C55" s="60">
        <v>7</v>
      </c>
      <c r="D55" s="60">
        <f aca="true" t="shared" si="21" ref="D55:D64">D54</f>
        <v>10</v>
      </c>
      <c r="E55" s="60">
        <v>6</v>
      </c>
      <c r="F55" s="60">
        <f t="shared" si="17"/>
        <v>2</v>
      </c>
      <c r="G55" s="60">
        <f t="shared" si="14"/>
        <v>0.052</v>
      </c>
      <c r="H55" s="60">
        <v>12</v>
      </c>
      <c r="I55" s="60">
        <v>4.5</v>
      </c>
      <c r="J55" s="60">
        <f t="shared" si="19"/>
        <v>2</v>
      </c>
      <c r="K55" s="100">
        <f t="shared" si="15"/>
        <v>0.056</v>
      </c>
      <c r="L55" s="60">
        <f t="shared" si="20"/>
        <v>1</v>
      </c>
      <c r="M55" s="59">
        <f t="shared" si="16"/>
        <v>0.108</v>
      </c>
    </row>
    <row r="56" spans="2:13" ht="15">
      <c r="B56" s="31" t="s">
        <v>59</v>
      </c>
      <c r="C56" s="60">
        <v>7</v>
      </c>
      <c r="D56" s="60">
        <v>12</v>
      </c>
      <c r="E56" s="60">
        <v>4.5</v>
      </c>
      <c r="F56" s="60">
        <f t="shared" si="17"/>
        <v>2</v>
      </c>
      <c r="G56" s="60">
        <f t="shared" si="14"/>
        <v>0.056</v>
      </c>
      <c r="H56" s="60">
        <v>10</v>
      </c>
      <c r="I56" s="60">
        <v>3.5</v>
      </c>
      <c r="J56" s="60">
        <f t="shared" si="19"/>
        <v>2</v>
      </c>
      <c r="K56" s="100">
        <f t="shared" si="15"/>
        <v>0.03</v>
      </c>
      <c r="L56" s="60">
        <f t="shared" si="20"/>
        <v>1</v>
      </c>
      <c r="M56" s="59">
        <f t="shared" si="16"/>
        <v>0.086</v>
      </c>
    </row>
    <row r="57" spans="2:13" ht="15">
      <c r="B57" s="31" t="s">
        <v>57</v>
      </c>
      <c r="C57" s="60">
        <v>7</v>
      </c>
      <c r="D57" s="60">
        <v>10</v>
      </c>
      <c r="E57" s="60">
        <v>4.5</v>
      </c>
      <c r="F57" s="60">
        <f t="shared" si="17"/>
        <v>2</v>
      </c>
      <c r="G57" s="60">
        <f t="shared" si="14"/>
        <v>0.039</v>
      </c>
      <c r="H57" s="60">
        <f t="shared" si="18"/>
        <v>10</v>
      </c>
      <c r="I57" s="60">
        <v>3.5</v>
      </c>
      <c r="J57" s="60">
        <f t="shared" si="19"/>
        <v>2</v>
      </c>
      <c r="K57" s="100">
        <f t="shared" si="15"/>
        <v>0.03</v>
      </c>
      <c r="L57" s="60">
        <f t="shared" si="20"/>
        <v>1</v>
      </c>
      <c r="M57" s="59">
        <f t="shared" si="16"/>
        <v>0.069</v>
      </c>
    </row>
    <row r="58" spans="2:13" ht="15">
      <c r="B58" s="31" t="s">
        <v>60</v>
      </c>
      <c r="C58" s="60">
        <v>7</v>
      </c>
      <c r="D58" s="60">
        <f t="shared" si="21"/>
        <v>10</v>
      </c>
      <c r="E58" s="60">
        <v>4.5</v>
      </c>
      <c r="F58" s="60">
        <f t="shared" si="17"/>
        <v>2</v>
      </c>
      <c r="G58" s="60">
        <f t="shared" si="14"/>
        <v>0.039</v>
      </c>
      <c r="H58" s="60">
        <v>12</v>
      </c>
      <c r="I58" s="60">
        <v>3.5</v>
      </c>
      <c r="J58" s="60">
        <f t="shared" si="19"/>
        <v>2</v>
      </c>
      <c r="K58" s="100">
        <f t="shared" si="15"/>
        <v>0.044</v>
      </c>
      <c r="L58" s="60">
        <f t="shared" si="20"/>
        <v>1</v>
      </c>
      <c r="M58" s="59">
        <f t="shared" si="16"/>
        <v>0.08299999999999999</v>
      </c>
    </row>
    <row r="59" spans="2:13" ht="15">
      <c r="B59" s="31" t="s">
        <v>61</v>
      </c>
      <c r="C59" s="60">
        <v>6</v>
      </c>
      <c r="D59" s="60">
        <v>12</v>
      </c>
      <c r="E59" s="60">
        <v>8</v>
      </c>
      <c r="F59" s="60">
        <f t="shared" si="17"/>
        <v>2</v>
      </c>
      <c r="G59" s="60">
        <f t="shared" si="14"/>
        <v>0.085</v>
      </c>
      <c r="H59" s="60">
        <v>12</v>
      </c>
      <c r="I59" s="60">
        <v>8</v>
      </c>
      <c r="J59" s="60">
        <f t="shared" si="19"/>
        <v>2</v>
      </c>
      <c r="K59" s="100">
        <f t="shared" si="15"/>
        <v>0.085</v>
      </c>
      <c r="L59" s="60">
        <f t="shared" si="20"/>
        <v>1</v>
      </c>
      <c r="M59" s="59">
        <f t="shared" si="16"/>
        <v>0.17</v>
      </c>
    </row>
    <row r="60" spans="2:13" ht="15">
      <c r="B60" s="31" t="s">
        <v>62</v>
      </c>
      <c r="C60" s="60">
        <v>10</v>
      </c>
      <c r="D60" s="60">
        <v>10</v>
      </c>
      <c r="E60" s="60">
        <v>4.5</v>
      </c>
      <c r="F60" s="60">
        <f t="shared" si="17"/>
        <v>2</v>
      </c>
      <c r="G60" s="60">
        <f t="shared" si="14"/>
        <v>0.056</v>
      </c>
      <c r="H60" s="60">
        <f t="shared" si="18"/>
        <v>12</v>
      </c>
      <c r="I60" s="60">
        <v>3.5</v>
      </c>
      <c r="J60" s="60">
        <f t="shared" si="19"/>
        <v>2</v>
      </c>
      <c r="K60" s="100">
        <f t="shared" si="15"/>
        <v>0.062</v>
      </c>
      <c r="L60" s="60">
        <f t="shared" si="20"/>
        <v>1</v>
      </c>
      <c r="M60" s="59">
        <f t="shared" si="16"/>
        <v>0.118</v>
      </c>
    </row>
    <row r="61" spans="2:13" ht="15">
      <c r="B61" s="31" t="s">
        <v>63</v>
      </c>
      <c r="C61" s="8">
        <v>0</v>
      </c>
      <c r="D61" s="9">
        <f t="shared" si="21"/>
        <v>10</v>
      </c>
      <c r="E61" s="8">
        <v>7</v>
      </c>
      <c r="F61" s="9">
        <f t="shared" si="17"/>
        <v>2</v>
      </c>
      <c r="G61" s="9">
        <f t="shared" si="14"/>
        <v>0</v>
      </c>
      <c r="H61" s="9">
        <f t="shared" si="18"/>
        <v>12</v>
      </c>
      <c r="I61" s="8">
        <v>5</v>
      </c>
      <c r="J61" s="9">
        <f t="shared" si="19"/>
        <v>2</v>
      </c>
      <c r="K61" s="221">
        <f t="shared" si="15"/>
        <v>0</v>
      </c>
      <c r="L61" s="9">
        <f t="shared" si="20"/>
        <v>1</v>
      </c>
      <c r="M61" s="41">
        <f t="shared" si="16"/>
        <v>0</v>
      </c>
    </row>
    <row r="62" spans="2:13" ht="15">
      <c r="B62" s="31" t="s">
        <v>64</v>
      </c>
      <c r="C62" s="8">
        <v>0</v>
      </c>
      <c r="D62" s="9">
        <f t="shared" si="21"/>
        <v>10</v>
      </c>
      <c r="E62" s="8">
        <v>7</v>
      </c>
      <c r="F62" s="9">
        <f t="shared" si="17"/>
        <v>2</v>
      </c>
      <c r="G62" s="9">
        <f t="shared" si="14"/>
        <v>0</v>
      </c>
      <c r="H62" s="9">
        <f t="shared" si="18"/>
        <v>12</v>
      </c>
      <c r="I62" s="8">
        <v>5</v>
      </c>
      <c r="J62" s="9">
        <f t="shared" si="19"/>
        <v>2</v>
      </c>
      <c r="K62" s="221">
        <f t="shared" si="15"/>
        <v>0</v>
      </c>
      <c r="L62" s="9">
        <f t="shared" si="20"/>
        <v>1</v>
      </c>
      <c r="M62" s="41">
        <f t="shared" si="16"/>
        <v>0</v>
      </c>
    </row>
    <row r="63" spans="2:13" ht="15">
      <c r="B63" s="31" t="s">
        <v>65</v>
      </c>
      <c r="C63" s="8">
        <v>0</v>
      </c>
      <c r="D63" s="9">
        <f t="shared" si="21"/>
        <v>10</v>
      </c>
      <c r="E63" s="8">
        <v>7</v>
      </c>
      <c r="F63" s="9">
        <f t="shared" si="17"/>
        <v>2</v>
      </c>
      <c r="G63" s="9">
        <f t="shared" si="14"/>
        <v>0</v>
      </c>
      <c r="H63" s="9">
        <f t="shared" si="18"/>
        <v>12</v>
      </c>
      <c r="I63" s="8">
        <v>5</v>
      </c>
      <c r="J63" s="9">
        <f t="shared" si="19"/>
        <v>2</v>
      </c>
      <c r="K63" s="221">
        <f t="shared" si="15"/>
        <v>0</v>
      </c>
      <c r="L63" s="9">
        <f t="shared" si="20"/>
        <v>1</v>
      </c>
      <c r="M63" s="41">
        <f t="shared" si="16"/>
        <v>0</v>
      </c>
    </row>
    <row r="64" spans="2:13" ht="15.75" thickBot="1">
      <c r="B64" s="32" t="s">
        <v>66</v>
      </c>
      <c r="C64" s="44">
        <v>0</v>
      </c>
      <c r="D64" s="43">
        <f t="shared" si="21"/>
        <v>10</v>
      </c>
      <c r="E64" s="44">
        <v>7</v>
      </c>
      <c r="F64" s="43">
        <f>F63</f>
        <v>2</v>
      </c>
      <c r="G64" s="43">
        <f>ROUND(24.67*(D64*10^-3/2)^2*F64*C64*E64,3)</f>
        <v>0</v>
      </c>
      <c r="H64" s="43">
        <f t="shared" si="18"/>
        <v>12</v>
      </c>
      <c r="I64" s="44">
        <v>5</v>
      </c>
      <c r="J64" s="43">
        <f t="shared" si="19"/>
        <v>2</v>
      </c>
      <c r="K64" s="222">
        <f t="shared" si="15"/>
        <v>0</v>
      </c>
      <c r="L64" s="43">
        <f t="shared" si="20"/>
        <v>1</v>
      </c>
      <c r="M64" s="47">
        <f t="shared" si="16"/>
        <v>0</v>
      </c>
    </row>
    <row r="65" spans="2:13" ht="15.75">
      <c r="B65" s="20"/>
      <c r="C65" s="21"/>
      <c r="D65" s="7"/>
      <c r="E65" s="7"/>
      <c r="F65" s="7"/>
      <c r="G65" s="7"/>
      <c r="J65" s="6"/>
      <c r="K65" s="6"/>
      <c r="L65" s="29" t="s">
        <v>74</v>
      </c>
      <c r="M65" s="111">
        <f>SUM(M50:M64)+C41*0.006</f>
        <v>3.398</v>
      </c>
    </row>
    <row r="66" spans="1:13" ht="16.5" thickBot="1">
      <c r="A66" s="148" t="s">
        <v>110</v>
      </c>
      <c r="B66" s="145">
        <f>SUM(M50:M64)+SUM(G50:G64)</f>
        <v>1.545</v>
      </c>
      <c r="C66" s="362" t="s">
        <v>111</v>
      </c>
      <c r="D66" s="362"/>
      <c r="J66" s="6" t="s">
        <v>80</v>
      </c>
      <c r="K66" s="6"/>
      <c r="L66" s="23"/>
      <c r="M66" s="112" t="s">
        <v>29</v>
      </c>
    </row>
    <row r="67" spans="2:13" ht="12.75">
      <c r="B67" s="22"/>
      <c r="C67" s="22"/>
      <c r="M67" s="7"/>
    </row>
    <row r="70" spans="2:13" ht="15.75" thickBot="1">
      <c r="B70" s="16"/>
      <c r="C70" s="16"/>
      <c r="D70" s="16"/>
      <c r="E70" s="16"/>
      <c r="F70" s="350" t="s">
        <v>83</v>
      </c>
      <c r="G70" s="350"/>
      <c r="H70" s="350"/>
      <c r="I70" s="78"/>
      <c r="J70" s="16"/>
      <c r="K70" s="16"/>
      <c r="L70" s="16"/>
      <c r="M70" s="16"/>
    </row>
    <row r="71" spans="2:20" ht="15.75" thickBo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O71" s="261"/>
      <c r="P71" s="262"/>
      <c r="Q71" s="260" t="s">
        <v>171</v>
      </c>
      <c r="R71" s="260"/>
      <c r="S71" s="262"/>
      <c r="T71" s="263"/>
    </row>
    <row r="72" spans="2:20" ht="15">
      <c r="B72" s="79" t="s">
        <v>84</v>
      </c>
      <c r="C72" s="80" t="s">
        <v>67</v>
      </c>
      <c r="D72" s="340" t="s">
        <v>86</v>
      </c>
      <c r="E72" s="341"/>
      <c r="F72" s="342"/>
      <c r="G72" s="81" t="s">
        <v>26</v>
      </c>
      <c r="H72" s="343" t="s">
        <v>87</v>
      </c>
      <c r="I72" s="344"/>
      <c r="J72" s="345"/>
      <c r="K72" s="82" t="s">
        <v>26</v>
      </c>
      <c r="L72" s="83" t="s">
        <v>10</v>
      </c>
      <c r="M72" s="84" t="s">
        <v>72</v>
      </c>
      <c r="O72" s="264" t="s">
        <v>166</v>
      </c>
      <c r="P72" s="364" t="s">
        <v>96</v>
      </c>
      <c r="Q72" s="364"/>
      <c r="R72" s="265" t="s">
        <v>169</v>
      </c>
      <c r="S72" s="266" t="s">
        <v>168</v>
      </c>
      <c r="T72" s="278" t="s">
        <v>174</v>
      </c>
    </row>
    <row r="73" spans="2:20" ht="15.75" thickBot="1">
      <c r="B73" s="101" t="s">
        <v>70</v>
      </c>
      <c r="C73" s="102" t="s">
        <v>85</v>
      </c>
      <c r="D73" s="103" t="s">
        <v>76</v>
      </c>
      <c r="E73" s="104" t="s">
        <v>68</v>
      </c>
      <c r="F73" s="103" t="s">
        <v>109</v>
      </c>
      <c r="G73" s="105" t="s">
        <v>29</v>
      </c>
      <c r="H73" s="106" t="s">
        <v>76</v>
      </c>
      <c r="I73" s="107" t="s">
        <v>68</v>
      </c>
      <c r="J73" s="106" t="s">
        <v>109</v>
      </c>
      <c r="K73" s="108" t="s">
        <v>29</v>
      </c>
      <c r="L73" s="109" t="s">
        <v>71</v>
      </c>
      <c r="M73" s="110" t="s">
        <v>73</v>
      </c>
      <c r="O73" s="267" t="s">
        <v>167</v>
      </c>
      <c r="P73" s="268" t="s">
        <v>164</v>
      </c>
      <c r="Q73" s="268" t="s">
        <v>165</v>
      </c>
      <c r="R73" s="269" t="s">
        <v>156</v>
      </c>
      <c r="S73" s="270" t="s">
        <v>156</v>
      </c>
      <c r="T73" s="271" t="s">
        <v>170</v>
      </c>
    </row>
    <row r="74" spans="2:20" ht="15.75" thickBot="1">
      <c r="B74" s="95" t="s">
        <v>134</v>
      </c>
      <c r="C74" s="36">
        <v>1</v>
      </c>
      <c r="D74" s="36">
        <v>12</v>
      </c>
      <c r="E74" s="36">
        <v>10.5</v>
      </c>
      <c r="F74" s="36">
        <v>10</v>
      </c>
      <c r="G74" s="66">
        <f>ROUND(24.67*(D74*10^-3/2)^2*F74*C74*E74,3)</f>
        <v>0.093</v>
      </c>
      <c r="H74" s="36">
        <v>14</v>
      </c>
      <c r="I74" s="36">
        <v>10.5</v>
      </c>
      <c r="J74" s="36">
        <v>10</v>
      </c>
      <c r="K74" s="66">
        <f>ROUND(24.67*(H74*10^-3/2)^2*J74*C74*I74,3)</f>
        <v>0.127</v>
      </c>
      <c r="L74" s="142">
        <v>1</v>
      </c>
      <c r="M74" s="98">
        <f>(G74+K74)*L74</f>
        <v>0.22</v>
      </c>
      <c r="O74" s="276" t="s">
        <v>134</v>
      </c>
      <c r="P74" s="230">
        <v>22</v>
      </c>
      <c r="Q74" s="230">
        <v>80</v>
      </c>
      <c r="R74" s="272" t="s">
        <v>177</v>
      </c>
      <c r="S74" s="272" t="s">
        <v>176</v>
      </c>
      <c r="T74" s="273" t="s">
        <v>179</v>
      </c>
    </row>
    <row r="75" spans="2:20" ht="15.75" thickBot="1">
      <c r="B75" s="99" t="s">
        <v>135</v>
      </c>
      <c r="C75" s="36">
        <v>1</v>
      </c>
      <c r="D75" s="8">
        <v>12</v>
      </c>
      <c r="E75" s="8">
        <v>10.5</v>
      </c>
      <c r="F75" s="8">
        <v>10</v>
      </c>
      <c r="G75" s="60">
        <f aca="true" t="shared" si="22" ref="G75:G93">ROUND(24.67*(D75*10^-3/2)^2*F75*C75*E75,3)</f>
        <v>0.093</v>
      </c>
      <c r="H75" s="8">
        <v>14</v>
      </c>
      <c r="I75" s="8">
        <v>10.5</v>
      </c>
      <c r="J75" s="8">
        <v>10</v>
      </c>
      <c r="K75" s="60">
        <f aca="true" t="shared" si="23" ref="K75:K93">ROUND(24.67*(H75*10^-3/2)^2*J75*C75*I75,3)</f>
        <v>0.127</v>
      </c>
      <c r="L75" s="141">
        <v>1</v>
      </c>
      <c r="M75" s="59">
        <f aca="true" t="shared" si="24" ref="M75:M93">(G75+K75)*L75</f>
        <v>0.22</v>
      </c>
      <c r="O75" s="274" t="s">
        <v>135</v>
      </c>
      <c r="P75" s="60">
        <v>22</v>
      </c>
      <c r="Q75" s="230">
        <v>60</v>
      </c>
      <c r="R75" s="272" t="s">
        <v>173</v>
      </c>
      <c r="S75" s="272" t="s">
        <v>178</v>
      </c>
      <c r="T75" s="273" t="s">
        <v>180</v>
      </c>
    </row>
    <row r="76" spans="2:20" ht="15.75" thickBot="1">
      <c r="B76" s="99" t="s">
        <v>136</v>
      </c>
      <c r="C76" s="36">
        <v>2</v>
      </c>
      <c r="D76" s="8">
        <v>12</v>
      </c>
      <c r="E76" s="8">
        <v>8</v>
      </c>
      <c r="F76" s="8">
        <v>10</v>
      </c>
      <c r="G76" s="60">
        <f t="shared" si="22"/>
        <v>0.142</v>
      </c>
      <c r="H76" s="8">
        <v>12</v>
      </c>
      <c r="I76" s="8">
        <v>6.5</v>
      </c>
      <c r="J76" s="8">
        <v>10</v>
      </c>
      <c r="K76" s="60">
        <f t="shared" si="23"/>
        <v>0.115</v>
      </c>
      <c r="L76" s="141">
        <v>1</v>
      </c>
      <c r="M76" s="59">
        <f t="shared" si="24"/>
        <v>0.257</v>
      </c>
      <c r="O76" s="274" t="s">
        <v>136</v>
      </c>
      <c r="P76" s="60">
        <v>22</v>
      </c>
      <c r="Q76" s="230">
        <v>80</v>
      </c>
      <c r="R76" s="272" t="s">
        <v>175</v>
      </c>
      <c r="S76" s="272" t="s">
        <v>176</v>
      </c>
      <c r="T76" s="273" t="s">
        <v>179</v>
      </c>
    </row>
    <row r="77" spans="2:20" ht="15.75" thickBot="1">
      <c r="B77" s="99" t="s">
        <v>137</v>
      </c>
      <c r="C77" s="36">
        <v>2</v>
      </c>
      <c r="D77" s="8">
        <v>14</v>
      </c>
      <c r="E77" s="8">
        <v>8</v>
      </c>
      <c r="F77" s="8">
        <v>10</v>
      </c>
      <c r="G77" s="60">
        <f t="shared" si="22"/>
        <v>0.193</v>
      </c>
      <c r="H77" s="8">
        <v>14</v>
      </c>
      <c r="I77" s="8">
        <v>6.5</v>
      </c>
      <c r="J77" s="8">
        <v>10</v>
      </c>
      <c r="K77" s="60">
        <f t="shared" si="23"/>
        <v>0.157</v>
      </c>
      <c r="L77" s="141">
        <v>1</v>
      </c>
      <c r="M77" s="59">
        <f t="shared" si="24"/>
        <v>0.35</v>
      </c>
      <c r="O77" s="274" t="s">
        <v>137</v>
      </c>
      <c r="P77" s="60">
        <v>22</v>
      </c>
      <c r="Q77" s="230">
        <v>80</v>
      </c>
      <c r="R77" s="272" t="s">
        <v>175</v>
      </c>
      <c r="S77" s="272" t="s">
        <v>177</v>
      </c>
      <c r="T77" s="273" t="s">
        <v>179</v>
      </c>
    </row>
    <row r="78" spans="2:20" ht="15.75" thickBot="1">
      <c r="B78" s="99" t="s">
        <v>138</v>
      </c>
      <c r="C78" s="36">
        <v>2</v>
      </c>
      <c r="D78" s="8">
        <v>16</v>
      </c>
      <c r="E78" s="8">
        <v>10</v>
      </c>
      <c r="F78" s="8">
        <v>10</v>
      </c>
      <c r="G78" s="60">
        <f t="shared" si="22"/>
        <v>0.316</v>
      </c>
      <c r="H78" s="8">
        <v>14</v>
      </c>
      <c r="I78" s="8">
        <v>9</v>
      </c>
      <c r="J78" s="8">
        <v>10</v>
      </c>
      <c r="K78" s="60">
        <f t="shared" si="23"/>
        <v>0.218</v>
      </c>
      <c r="L78" s="141">
        <v>1</v>
      </c>
      <c r="M78" s="59">
        <f t="shared" si="24"/>
        <v>0.534</v>
      </c>
      <c r="O78" s="274" t="s">
        <v>138</v>
      </c>
      <c r="P78" s="60">
        <v>22</v>
      </c>
      <c r="Q78" s="230">
        <v>60</v>
      </c>
      <c r="R78" s="272" t="s">
        <v>173</v>
      </c>
      <c r="S78" s="272" t="s">
        <v>178</v>
      </c>
      <c r="T78" s="273" t="s">
        <v>180</v>
      </c>
    </row>
    <row r="79" spans="2:20" ht="15.75" thickBot="1">
      <c r="B79" s="99" t="s">
        <v>112</v>
      </c>
      <c r="C79" s="36">
        <v>2</v>
      </c>
      <c r="D79" s="8">
        <v>12</v>
      </c>
      <c r="E79" s="8">
        <v>5.5</v>
      </c>
      <c r="F79" s="8">
        <v>10</v>
      </c>
      <c r="G79" s="60">
        <f t="shared" si="22"/>
        <v>0.098</v>
      </c>
      <c r="H79" s="8">
        <v>14</v>
      </c>
      <c r="I79" s="8">
        <v>4.5</v>
      </c>
      <c r="J79" s="8">
        <v>10</v>
      </c>
      <c r="K79" s="60">
        <f t="shared" si="23"/>
        <v>0.109</v>
      </c>
      <c r="L79" s="141">
        <v>1</v>
      </c>
      <c r="M79" s="59">
        <f t="shared" si="24"/>
        <v>0.20700000000000002</v>
      </c>
      <c r="O79" s="274" t="s">
        <v>160</v>
      </c>
      <c r="P79" s="60">
        <v>22</v>
      </c>
      <c r="Q79" s="230">
        <v>60</v>
      </c>
      <c r="R79" s="272" t="s">
        <v>173</v>
      </c>
      <c r="S79" s="272" t="s">
        <v>172</v>
      </c>
      <c r="T79" s="273" t="s">
        <v>180</v>
      </c>
    </row>
    <row r="80" spans="2:20" ht="15.75" thickBot="1">
      <c r="B80" s="99" t="s">
        <v>113</v>
      </c>
      <c r="C80" s="36">
        <v>2</v>
      </c>
      <c r="D80" s="8">
        <v>14</v>
      </c>
      <c r="E80" s="8">
        <v>7</v>
      </c>
      <c r="F80" s="8">
        <v>8</v>
      </c>
      <c r="G80" s="60">
        <f t="shared" si="22"/>
        <v>0.135</v>
      </c>
      <c r="H80" s="8">
        <v>14</v>
      </c>
      <c r="I80" s="8">
        <v>6</v>
      </c>
      <c r="J80" s="8">
        <v>8</v>
      </c>
      <c r="K80" s="60">
        <f t="shared" si="23"/>
        <v>0.116</v>
      </c>
      <c r="L80" s="141">
        <v>1</v>
      </c>
      <c r="M80" s="59">
        <f t="shared" si="24"/>
        <v>0.251</v>
      </c>
      <c r="O80" s="274" t="s">
        <v>161</v>
      </c>
      <c r="P80" s="60">
        <v>22</v>
      </c>
      <c r="Q80" s="230">
        <v>60</v>
      </c>
      <c r="R80" s="272" t="s">
        <v>173</v>
      </c>
      <c r="S80" s="272" t="s">
        <v>181</v>
      </c>
      <c r="T80" s="273" t="s">
        <v>180</v>
      </c>
    </row>
    <row r="81" spans="2:20" ht="15.75" thickBot="1">
      <c r="B81" s="99" t="s">
        <v>114</v>
      </c>
      <c r="C81" s="36">
        <v>2</v>
      </c>
      <c r="D81" s="8">
        <v>12</v>
      </c>
      <c r="E81" s="8">
        <v>5.5</v>
      </c>
      <c r="F81" s="8">
        <v>8</v>
      </c>
      <c r="G81" s="60">
        <f t="shared" si="22"/>
        <v>0.078</v>
      </c>
      <c r="H81" s="8">
        <v>14</v>
      </c>
      <c r="I81" s="8">
        <v>4</v>
      </c>
      <c r="J81" s="8">
        <v>8</v>
      </c>
      <c r="K81" s="60">
        <f t="shared" si="23"/>
        <v>0.077</v>
      </c>
      <c r="L81" s="141">
        <v>1</v>
      </c>
      <c r="M81" s="59">
        <f t="shared" si="24"/>
        <v>0.155</v>
      </c>
      <c r="O81" s="274" t="s">
        <v>162</v>
      </c>
      <c r="P81" s="60">
        <v>22</v>
      </c>
      <c r="Q81" s="230">
        <v>55</v>
      </c>
      <c r="R81" s="272" t="s">
        <v>182</v>
      </c>
      <c r="S81" s="272" t="s">
        <v>182</v>
      </c>
      <c r="T81" s="273" t="s">
        <v>183</v>
      </c>
    </row>
    <row r="82" spans="2:20" ht="15.75" thickBot="1">
      <c r="B82" s="99" t="s">
        <v>115</v>
      </c>
      <c r="C82" s="36">
        <v>2</v>
      </c>
      <c r="D82" s="8">
        <v>12</v>
      </c>
      <c r="E82" s="8">
        <v>5.5</v>
      </c>
      <c r="F82" s="8">
        <v>8</v>
      </c>
      <c r="G82" s="60">
        <f t="shared" si="22"/>
        <v>0.078</v>
      </c>
      <c r="H82" s="8">
        <v>14</v>
      </c>
      <c r="I82" s="8">
        <v>4</v>
      </c>
      <c r="J82" s="8">
        <v>8</v>
      </c>
      <c r="K82" s="60">
        <f t="shared" si="23"/>
        <v>0.077</v>
      </c>
      <c r="L82" s="141">
        <v>1</v>
      </c>
      <c r="M82" s="59">
        <f t="shared" si="24"/>
        <v>0.155</v>
      </c>
      <c r="O82" s="275" t="s">
        <v>163</v>
      </c>
      <c r="P82" s="69">
        <v>22</v>
      </c>
      <c r="Q82" s="230">
        <v>60</v>
      </c>
      <c r="R82" s="272" t="s">
        <v>173</v>
      </c>
      <c r="S82" s="272" t="s">
        <v>173</v>
      </c>
      <c r="T82" s="273" t="s">
        <v>184</v>
      </c>
    </row>
    <row r="83" spans="2:13" ht="15.75" thickBot="1">
      <c r="B83" s="99" t="s">
        <v>116</v>
      </c>
      <c r="C83" s="36">
        <v>2</v>
      </c>
      <c r="D83" s="8">
        <v>12</v>
      </c>
      <c r="E83" s="8">
        <v>7</v>
      </c>
      <c r="F83" s="8">
        <v>8</v>
      </c>
      <c r="G83" s="60">
        <f t="shared" si="22"/>
        <v>0.099</v>
      </c>
      <c r="H83" s="8">
        <v>16</v>
      </c>
      <c r="I83" s="8">
        <v>5.5</v>
      </c>
      <c r="J83" s="8">
        <v>8</v>
      </c>
      <c r="K83" s="60">
        <f t="shared" si="23"/>
        <v>0.139</v>
      </c>
      <c r="L83" s="141">
        <v>1</v>
      </c>
      <c r="M83" s="59">
        <f t="shared" si="24"/>
        <v>0.23800000000000002</v>
      </c>
    </row>
    <row r="84" spans="2:13" ht="15.75" thickBot="1">
      <c r="B84" s="99" t="s">
        <v>117</v>
      </c>
      <c r="C84" s="36">
        <v>2</v>
      </c>
      <c r="D84" s="8">
        <v>12</v>
      </c>
      <c r="E84" s="8">
        <v>5.5</v>
      </c>
      <c r="F84" s="8">
        <v>8</v>
      </c>
      <c r="G84" s="60">
        <f t="shared" si="22"/>
        <v>0.078</v>
      </c>
      <c r="H84" s="8">
        <v>14</v>
      </c>
      <c r="I84" s="8">
        <v>4</v>
      </c>
      <c r="J84" s="8">
        <v>8</v>
      </c>
      <c r="K84" s="60">
        <f t="shared" si="23"/>
        <v>0.077</v>
      </c>
      <c r="L84" s="141">
        <v>1</v>
      </c>
      <c r="M84" s="59">
        <f t="shared" si="24"/>
        <v>0.155</v>
      </c>
    </row>
    <row r="85" spans="2:13" ht="15.75" thickBot="1">
      <c r="B85" s="99" t="s">
        <v>118</v>
      </c>
      <c r="C85" s="36">
        <v>2</v>
      </c>
      <c r="D85" s="8">
        <v>12</v>
      </c>
      <c r="E85" s="8">
        <v>4</v>
      </c>
      <c r="F85" s="8">
        <v>8</v>
      </c>
      <c r="G85" s="60">
        <f t="shared" si="22"/>
        <v>0.057</v>
      </c>
      <c r="H85" s="8">
        <v>12</v>
      </c>
      <c r="I85" s="8">
        <v>3</v>
      </c>
      <c r="J85" s="8">
        <v>8</v>
      </c>
      <c r="K85" s="60">
        <f t="shared" si="23"/>
        <v>0.043</v>
      </c>
      <c r="L85" s="141">
        <v>1</v>
      </c>
      <c r="M85" s="59">
        <f t="shared" si="24"/>
        <v>0.1</v>
      </c>
    </row>
    <row r="86" spans="2:13" ht="15.75" thickBot="1">
      <c r="B86" s="99" t="s">
        <v>119</v>
      </c>
      <c r="C86" s="36">
        <v>4</v>
      </c>
      <c r="D86" s="8">
        <v>12</v>
      </c>
      <c r="E86" s="8">
        <v>5</v>
      </c>
      <c r="F86" s="8">
        <v>5</v>
      </c>
      <c r="G86" s="60">
        <f t="shared" si="22"/>
        <v>0.089</v>
      </c>
      <c r="H86" s="8">
        <v>12</v>
      </c>
      <c r="I86" s="8">
        <v>4</v>
      </c>
      <c r="J86" s="8">
        <v>5</v>
      </c>
      <c r="K86" s="60">
        <f t="shared" si="23"/>
        <v>0.071</v>
      </c>
      <c r="L86" s="141">
        <v>1</v>
      </c>
      <c r="M86" s="59">
        <f t="shared" si="24"/>
        <v>0.15999999999999998</v>
      </c>
    </row>
    <row r="87" spans="2:13" ht="15.75" thickBot="1">
      <c r="B87" s="99" t="s">
        <v>120</v>
      </c>
      <c r="C87" s="36">
        <v>1.5</v>
      </c>
      <c r="D87" s="8">
        <v>12</v>
      </c>
      <c r="E87" s="8">
        <v>5</v>
      </c>
      <c r="F87" s="8">
        <v>5</v>
      </c>
      <c r="G87" s="60">
        <f t="shared" si="22"/>
        <v>0.033</v>
      </c>
      <c r="H87" s="8">
        <v>14</v>
      </c>
      <c r="I87" s="8">
        <v>4</v>
      </c>
      <c r="J87" s="8">
        <v>5</v>
      </c>
      <c r="K87" s="60">
        <f t="shared" si="23"/>
        <v>0.036</v>
      </c>
      <c r="L87" s="141">
        <v>1</v>
      </c>
      <c r="M87" s="59">
        <f t="shared" si="24"/>
        <v>0.069</v>
      </c>
    </row>
    <row r="88" spans="2:13" ht="15.75" thickBot="1">
      <c r="B88" s="99" t="s">
        <v>121</v>
      </c>
      <c r="C88" s="36">
        <v>4</v>
      </c>
      <c r="D88" s="8">
        <v>12</v>
      </c>
      <c r="E88" s="8">
        <v>8</v>
      </c>
      <c r="F88" s="8">
        <v>5</v>
      </c>
      <c r="G88" s="60">
        <f t="shared" si="22"/>
        <v>0.142</v>
      </c>
      <c r="H88" s="8">
        <v>14</v>
      </c>
      <c r="I88" s="8">
        <v>5.5</v>
      </c>
      <c r="J88" s="8">
        <v>5</v>
      </c>
      <c r="K88" s="60">
        <f t="shared" si="23"/>
        <v>0.133</v>
      </c>
      <c r="L88" s="141">
        <v>1</v>
      </c>
      <c r="M88" s="59">
        <f t="shared" si="24"/>
        <v>0.275</v>
      </c>
    </row>
    <row r="89" spans="2:13" ht="15.75" thickBot="1">
      <c r="B89" s="99" t="s">
        <v>122</v>
      </c>
      <c r="C89" s="36">
        <v>2</v>
      </c>
      <c r="D89" s="8">
        <v>12</v>
      </c>
      <c r="E89" s="8">
        <v>7</v>
      </c>
      <c r="F89" s="8">
        <v>10</v>
      </c>
      <c r="G89" s="60">
        <f t="shared" si="22"/>
        <v>0.124</v>
      </c>
      <c r="H89" s="8">
        <v>12</v>
      </c>
      <c r="I89" s="8">
        <v>5</v>
      </c>
      <c r="J89" s="8">
        <v>10</v>
      </c>
      <c r="K89" s="60">
        <f t="shared" si="23"/>
        <v>0.089</v>
      </c>
      <c r="L89" s="141">
        <v>1</v>
      </c>
      <c r="M89" s="59">
        <f t="shared" si="24"/>
        <v>0.213</v>
      </c>
    </row>
    <row r="90" spans="2:13" ht="15.75" thickBot="1">
      <c r="B90" s="99" t="s">
        <v>123</v>
      </c>
      <c r="C90" s="36">
        <v>1</v>
      </c>
      <c r="D90" s="8">
        <v>12</v>
      </c>
      <c r="E90" s="8">
        <v>7</v>
      </c>
      <c r="F90" s="8">
        <v>5</v>
      </c>
      <c r="G90" s="60">
        <f t="shared" si="22"/>
        <v>0.031</v>
      </c>
      <c r="H90" s="8">
        <v>14</v>
      </c>
      <c r="I90" s="8">
        <v>5</v>
      </c>
      <c r="J90" s="8">
        <v>5</v>
      </c>
      <c r="K90" s="60">
        <f t="shared" si="23"/>
        <v>0.03</v>
      </c>
      <c r="L90" s="141">
        <v>1</v>
      </c>
      <c r="M90" s="59">
        <f t="shared" si="24"/>
        <v>0.061</v>
      </c>
    </row>
    <row r="91" spans="2:13" ht="15.75" thickBot="1">
      <c r="B91" s="31" t="s">
        <v>124</v>
      </c>
      <c r="C91" s="36">
        <v>10</v>
      </c>
      <c r="D91" s="14">
        <v>12</v>
      </c>
      <c r="E91" s="14">
        <v>3.5</v>
      </c>
      <c r="F91" s="14">
        <v>5</v>
      </c>
      <c r="G91" s="143">
        <f t="shared" si="22"/>
        <v>0.155</v>
      </c>
      <c r="H91" s="14">
        <v>12</v>
      </c>
      <c r="I91" s="14">
        <v>6</v>
      </c>
      <c r="J91" s="14">
        <v>5</v>
      </c>
      <c r="K91" s="143">
        <f t="shared" si="23"/>
        <v>0.266</v>
      </c>
      <c r="L91" s="19">
        <v>1</v>
      </c>
      <c r="M91" s="77">
        <f t="shared" si="24"/>
        <v>0.42100000000000004</v>
      </c>
    </row>
    <row r="92" spans="2:13" ht="15.75" thickBot="1">
      <c r="B92" s="31" t="s">
        <v>125</v>
      </c>
      <c r="C92" s="36">
        <v>8</v>
      </c>
      <c r="D92" s="14">
        <v>12</v>
      </c>
      <c r="E92" s="14">
        <v>5.5</v>
      </c>
      <c r="F92" s="14">
        <v>5</v>
      </c>
      <c r="G92" s="143">
        <f t="shared" si="22"/>
        <v>0.195</v>
      </c>
      <c r="H92" s="14">
        <v>14</v>
      </c>
      <c r="I92" s="14">
        <v>5</v>
      </c>
      <c r="J92" s="14">
        <v>5</v>
      </c>
      <c r="K92" s="143">
        <f t="shared" si="23"/>
        <v>0.242</v>
      </c>
      <c r="L92" s="19">
        <v>1</v>
      </c>
      <c r="M92" s="77">
        <f t="shared" si="24"/>
        <v>0.437</v>
      </c>
    </row>
    <row r="93" spans="2:13" ht="15.75" thickBot="1">
      <c r="B93" s="32" t="s">
        <v>126</v>
      </c>
      <c r="C93" s="36">
        <v>1</v>
      </c>
      <c r="D93" s="33">
        <v>12</v>
      </c>
      <c r="E93" s="33">
        <v>5.5</v>
      </c>
      <c r="F93" s="33">
        <v>10</v>
      </c>
      <c r="G93" s="28">
        <f t="shared" si="22"/>
        <v>0.049</v>
      </c>
      <c r="H93" s="33">
        <v>16</v>
      </c>
      <c r="I93" s="33">
        <v>4.5</v>
      </c>
      <c r="J93" s="33">
        <v>10</v>
      </c>
      <c r="K93" s="28">
        <f t="shared" si="23"/>
        <v>0.071</v>
      </c>
      <c r="L93" s="19">
        <v>1</v>
      </c>
      <c r="M93" s="146">
        <f t="shared" si="24"/>
        <v>0.12</v>
      </c>
    </row>
    <row r="94" spans="9:13" ht="15">
      <c r="I94" s="7">
        <f>SUM(I74:I93)</f>
        <v>113</v>
      </c>
      <c r="J94" s="6"/>
      <c r="K94" s="6"/>
      <c r="L94" s="113" t="s">
        <v>74</v>
      </c>
      <c r="M94" s="114">
        <f>SUM(M74:M93)+I94*0.007</f>
        <v>5.389</v>
      </c>
    </row>
    <row r="95" spans="2:13" ht="15.75" thickBot="1">
      <c r="B95" s="144" t="s">
        <v>127</v>
      </c>
      <c r="C95" s="141">
        <v>6</v>
      </c>
      <c r="D95" s="19">
        <v>16</v>
      </c>
      <c r="E95" s="19">
        <v>3</v>
      </c>
      <c r="F95" s="19">
        <v>4</v>
      </c>
      <c r="G95" s="147">
        <f>ROUND(24.67*(D95*10^-3/2)^2*F95*C95*E95,3)</f>
        <v>0.114</v>
      </c>
      <c r="J95" s="6" t="s">
        <v>88</v>
      </c>
      <c r="K95" s="6"/>
      <c r="L95" s="115"/>
      <c r="M95" s="116" t="s">
        <v>29</v>
      </c>
    </row>
    <row r="97" spans="10:11" ht="12.75">
      <c r="J97" s="75" t="s">
        <v>128</v>
      </c>
      <c r="K97" s="75">
        <f>SUM(M74:M93)</f>
        <v>4.598</v>
      </c>
    </row>
    <row r="106" ht="13.5" thickBot="1"/>
    <row r="107" spans="1:13" ht="21" thickBot="1">
      <c r="A107" s="75"/>
      <c r="B107" s="75"/>
      <c r="C107" s="75"/>
      <c r="D107" s="238"/>
      <c r="E107" s="242"/>
      <c r="F107" s="239" t="s">
        <v>89</v>
      </c>
      <c r="G107" s="240"/>
      <c r="H107" s="240"/>
      <c r="I107" s="241"/>
      <c r="J107" s="75"/>
      <c r="K107" s="75"/>
      <c r="L107" s="75"/>
      <c r="M107" s="75"/>
    </row>
    <row r="108" spans="1:13" ht="13.5" thickBo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ht="15">
      <c r="A109" s="117" t="s">
        <v>90</v>
      </c>
      <c r="B109" s="118"/>
      <c r="C109" s="118" t="s">
        <v>96</v>
      </c>
      <c r="D109" s="118"/>
      <c r="E109" s="361" t="s">
        <v>100</v>
      </c>
      <c r="F109" s="361"/>
      <c r="G109" s="361"/>
      <c r="H109" s="359" t="s">
        <v>104</v>
      </c>
      <c r="I109" s="359"/>
      <c r="J109" s="360"/>
      <c r="K109" s="119" t="s">
        <v>97</v>
      </c>
      <c r="L109" s="120" t="s">
        <v>103</v>
      </c>
      <c r="M109" s="121" t="s">
        <v>105</v>
      </c>
    </row>
    <row r="110" spans="1:13" ht="15">
      <c r="A110" s="122" t="s">
        <v>19</v>
      </c>
      <c r="B110" s="123" t="s">
        <v>67</v>
      </c>
      <c r="C110" s="124" t="s">
        <v>8</v>
      </c>
      <c r="D110" s="124" t="s">
        <v>9</v>
      </c>
      <c r="E110" s="125" t="s">
        <v>101</v>
      </c>
      <c r="F110" s="64" t="s">
        <v>76</v>
      </c>
      <c r="G110" s="125" t="s">
        <v>7</v>
      </c>
      <c r="H110" s="126" t="s">
        <v>101</v>
      </c>
      <c r="I110" s="65" t="s">
        <v>76</v>
      </c>
      <c r="J110" s="127" t="s">
        <v>7</v>
      </c>
      <c r="K110" s="128" t="s">
        <v>98</v>
      </c>
      <c r="L110" s="129" t="s">
        <v>78</v>
      </c>
      <c r="M110" s="130" t="s">
        <v>71</v>
      </c>
    </row>
    <row r="111" spans="1:13" ht="15.75" thickBot="1">
      <c r="A111" s="131"/>
      <c r="B111" s="132" t="s">
        <v>106</v>
      </c>
      <c r="C111" s="133" t="s">
        <v>99</v>
      </c>
      <c r="D111" s="133" t="s">
        <v>99</v>
      </c>
      <c r="E111" s="91" t="s">
        <v>102</v>
      </c>
      <c r="F111" s="91" t="s">
        <v>28</v>
      </c>
      <c r="G111" s="91" t="s">
        <v>14</v>
      </c>
      <c r="H111" s="134" t="s">
        <v>102</v>
      </c>
      <c r="I111" s="134" t="s">
        <v>28</v>
      </c>
      <c r="J111" s="135" t="s">
        <v>14</v>
      </c>
      <c r="K111" s="136" t="s">
        <v>13</v>
      </c>
      <c r="L111" s="137" t="s">
        <v>29</v>
      </c>
      <c r="M111" s="138"/>
    </row>
    <row r="112" spans="1:13" ht="15.75">
      <c r="A112" s="165" t="s">
        <v>91</v>
      </c>
      <c r="B112" s="66">
        <v>8</v>
      </c>
      <c r="C112" s="66">
        <v>20</v>
      </c>
      <c r="D112" s="66">
        <v>50</v>
      </c>
      <c r="E112" s="66">
        <v>8</v>
      </c>
      <c r="F112" s="66">
        <v>14</v>
      </c>
      <c r="G112" s="66">
        <v>4.5</v>
      </c>
      <c r="H112" s="66">
        <f>(G112-1)/0.2</f>
        <v>17.5</v>
      </c>
      <c r="I112" s="66">
        <v>8</v>
      </c>
      <c r="J112" s="66">
        <f>2*((C112+D112-20)*0.01)*H112</f>
        <v>17.5</v>
      </c>
      <c r="K112" s="66">
        <f aca="true" t="shared" si="25" ref="K112:K119">(B112*C112*D112*10^-4)*(G112-1)</f>
        <v>2.8000000000000003</v>
      </c>
      <c r="L112" s="139">
        <f>(ROUND(24.67*(F112*10^-3/2)^2*E112*B112*G112,3))+ROUND(24.67*((I112*10^-3)/2)^2*H112*J112,3)</f>
        <v>0.469</v>
      </c>
      <c r="M112" s="76">
        <v>1</v>
      </c>
    </row>
    <row r="113" spans="1:13" ht="15.75">
      <c r="A113" s="243" t="s">
        <v>92</v>
      </c>
      <c r="B113" s="60">
        <v>4</v>
      </c>
      <c r="C113" s="60">
        <v>20</v>
      </c>
      <c r="D113" s="60">
        <v>70</v>
      </c>
      <c r="E113" s="60">
        <v>10</v>
      </c>
      <c r="F113" s="60">
        <v>14</v>
      </c>
      <c r="G113" s="60">
        <f>G112</f>
        <v>4.5</v>
      </c>
      <c r="H113" s="60">
        <f aca="true" t="shared" si="26" ref="H113:H119">(G113-1)/0.2</f>
        <v>17.5</v>
      </c>
      <c r="I113" s="60">
        <v>8</v>
      </c>
      <c r="J113" s="60">
        <f aca="true" t="shared" si="27" ref="J113:J119">2*((C113+D113-20)*0.01)*H113</f>
        <v>24.500000000000004</v>
      </c>
      <c r="K113" s="60">
        <f t="shared" si="25"/>
        <v>1.9600000000000002</v>
      </c>
      <c r="L113" s="140">
        <f aca="true" t="shared" si="28" ref="L113:L119">(ROUND(24.67*(F113*10^-3/2)^2*E113*B113*G113,3))+ROUND(24.67*((I113*10^-3)/2)^2*H113*J113,3)</f>
        <v>0.387</v>
      </c>
      <c r="M113" s="77">
        <f>M112</f>
        <v>1</v>
      </c>
    </row>
    <row r="114" spans="1:13" ht="15.75">
      <c r="A114" s="243" t="s">
        <v>93</v>
      </c>
      <c r="B114" s="60">
        <v>0</v>
      </c>
      <c r="C114" s="60">
        <v>40</v>
      </c>
      <c r="D114" s="60">
        <v>40</v>
      </c>
      <c r="E114" s="60">
        <v>8</v>
      </c>
      <c r="F114" s="60">
        <v>16</v>
      </c>
      <c r="G114" s="60">
        <f aca="true" t="shared" si="29" ref="G114:G119">G113</f>
        <v>4.5</v>
      </c>
      <c r="H114" s="60">
        <f t="shared" si="26"/>
        <v>17.5</v>
      </c>
      <c r="I114" s="60">
        <v>0</v>
      </c>
      <c r="J114" s="60">
        <f t="shared" si="27"/>
        <v>21</v>
      </c>
      <c r="K114" s="60">
        <f t="shared" si="25"/>
        <v>0</v>
      </c>
      <c r="L114" s="140">
        <f t="shared" si="28"/>
        <v>0</v>
      </c>
      <c r="M114" s="77">
        <f aca="true" t="shared" si="30" ref="M114:M119">M113</f>
        <v>1</v>
      </c>
    </row>
    <row r="115" spans="1:13" ht="15.75">
      <c r="A115" s="243" t="s">
        <v>94</v>
      </c>
      <c r="B115" s="60">
        <v>0</v>
      </c>
      <c r="C115" s="60">
        <v>25</v>
      </c>
      <c r="D115" s="60">
        <v>90</v>
      </c>
      <c r="E115" s="60">
        <v>12</v>
      </c>
      <c r="F115" s="60">
        <v>16</v>
      </c>
      <c r="G115" s="60">
        <f t="shared" si="29"/>
        <v>4.5</v>
      </c>
      <c r="H115" s="60">
        <f t="shared" si="26"/>
        <v>17.5</v>
      </c>
      <c r="I115" s="60">
        <v>0</v>
      </c>
      <c r="J115" s="60">
        <f t="shared" si="27"/>
        <v>33.25</v>
      </c>
      <c r="K115" s="60">
        <f t="shared" si="25"/>
        <v>0</v>
      </c>
      <c r="L115" s="140">
        <f t="shared" si="28"/>
        <v>0</v>
      </c>
      <c r="M115" s="77">
        <f t="shared" si="30"/>
        <v>1</v>
      </c>
    </row>
    <row r="116" spans="1:13" ht="15.75">
      <c r="A116" s="243" t="s">
        <v>129</v>
      </c>
      <c r="B116" s="60">
        <v>0</v>
      </c>
      <c r="C116" s="60">
        <v>15</v>
      </c>
      <c r="D116" s="60">
        <v>95</v>
      </c>
      <c r="E116" s="60">
        <v>10</v>
      </c>
      <c r="F116" s="60">
        <v>14</v>
      </c>
      <c r="G116" s="60">
        <f t="shared" si="29"/>
        <v>4.5</v>
      </c>
      <c r="H116" s="60">
        <f t="shared" si="26"/>
        <v>17.5</v>
      </c>
      <c r="I116" s="60">
        <v>0</v>
      </c>
      <c r="J116" s="60">
        <f t="shared" si="27"/>
        <v>31.5</v>
      </c>
      <c r="K116" s="60">
        <f t="shared" si="25"/>
        <v>0</v>
      </c>
      <c r="L116" s="140">
        <f t="shared" si="28"/>
        <v>0</v>
      </c>
      <c r="M116" s="77">
        <f t="shared" si="30"/>
        <v>1</v>
      </c>
    </row>
    <row r="117" spans="1:13" ht="15.75">
      <c r="A117" s="243" t="s">
        <v>20</v>
      </c>
      <c r="B117" s="60">
        <v>0</v>
      </c>
      <c r="C117" s="60">
        <v>25</v>
      </c>
      <c r="D117" s="60">
        <v>1250</v>
      </c>
      <c r="E117" s="60">
        <v>48</v>
      </c>
      <c r="F117" s="60">
        <v>14</v>
      </c>
      <c r="G117" s="60">
        <f t="shared" si="29"/>
        <v>4.5</v>
      </c>
      <c r="H117" s="60">
        <f t="shared" si="26"/>
        <v>17.5</v>
      </c>
      <c r="I117" s="60">
        <v>0</v>
      </c>
      <c r="J117" s="60">
        <f t="shared" si="27"/>
        <v>439.25</v>
      </c>
      <c r="K117" s="60">
        <f t="shared" si="25"/>
        <v>0</v>
      </c>
      <c r="L117" s="140">
        <f t="shared" si="28"/>
        <v>0</v>
      </c>
      <c r="M117" s="77">
        <f t="shared" si="30"/>
        <v>1</v>
      </c>
    </row>
    <row r="118" spans="1:13" ht="15">
      <c r="A118" s="67" t="s">
        <v>185</v>
      </c>
      <c r="B118" s="60">
        <v>0</v>
      </c>
      <c r="C118" s="60">
        <v>25</v>
      </c>
      <c r="D118" s="60">
        <v>230</v>
      </c>
      <c r="E118" s="60">
        <v>96</v>
      </c>
      <c r="F118" s="60">
        <v>20</v>
      </c>
      <c r="G118" s="60">
        <f t="shared" si="29"/>
        <v>4.5</v>
      </c>
      <c r="H118" s="60">
        <f t="shared" si="26"/>
        <v>17.5</v>
      </c>
      <c r="I118" s="60">
        <v>0</v>
      </c>
      <c r="J118" s="60">
        <f t="shared" si="27"/>
        <v>82.25</v>
      </c>
      <c r="K118" s="60">
        <f t="shared" si="25"/>
        <v>0</v>
      </c>
      <c r="L118" s="140">
        <f t="shared" si="28"/>
        <v>0</v>
      </c>
      <c r="M118" s="77">
        <f t="shared" si="30"/>
        <v>1</v>
      </c>
    </row>
    <row r="119" spans="1:13" ht="15.75" thickBot="1">
      <c r="A119" s="68" t="s">
        <v>95</v>
      </c>
      <c r="B119" s="44">
        <v>0</v>
      </c>
      <c r="C119" s="44">
        <v>25</v>
      </c>
      <c r="D119" s="44">
        <v>450</v>
      </c>
      <c r="E119" s="44">
        <v>60</v>
      </c>
      <c r="F119" s="44">
        <v>12</v>
      </c>
      <c r="G119" s="69">
        <f t="shared" si="29"/>
        <v>4.5</v>
      </c>
      <c r="H119" s="69">
        <f t="shared" si="26"/>
        <v>17.5</v>
      </c>
      <c r="I119" s="44">
        <v>0</v>
      </c>
      <c r="J119" s="70">
        <f t="shared" si="27"/>
        <v>159.25</v>
      </c>
      <c r="K119" s="43">
        <f t="shared" si="25"/>
        <v>0</v>
      </c>
      <c r="L119" s="71">
        <f t="shared" si="28"/>
        <v>0</v>
      </c>
      <c r="M119" s="35">
        <f t="shared" si="30"/>
        <v>1</v>
      </c>
    </row>
    <row r="120" spans="10:12" ht="15">
      <c r="J120" s="376" t="s">
        <v>74</v>
      </c>
      <c r="K120" s="152">
        <f>SUM(K112:K119)*M112</f>
        <v>4.760000000000001</v>
      </c>
      <c r="L120" s="114">
        <f>SUM(L112:L119)*M112</f>
        <v>0.856</v>
      </c>
    </row>
    <row r="121" spans="10:12" ht="13.5" thickBot="1">
      <c r="J121" s="377"/>
      <c r="K121" s="149" t="s">
        <v>13</v>
      </c>
      <c r="L121" s="150" t="s">
        <v>29</v>
      </c>
    </row>
    <row r="122" spans="10:12" ht="12.75">
      <c r="J122" s="151"/>
      <c r="K122" s="151" t="s">
        <v>98</v>
      </c>
      <c r="L122" s="151" t="s">
        <v>78</v>
      </c>
    </row>
    <row r="127" spans="2:18" ht="18">
      <c r="B127" s="244"/>
      <c r="C127" s="245" t="s">
        <v>189</v>
      </c>
      <c r="D127" s="245"/>
      <c r="E127" s="246"/>
      <c r="F127" s="72"/>
      <c r="G127" s="72"/>
      <c r="H127" s="72"/>
      <c r="L127" s="244"/>
      <c r="M127" s="245" t="s">
        <v>190</v>
      </c>
      <c r="N127" s="245"/>
      <c r="O127" s="246"/>
      <c r="P127" s="72"/>
      <c r="Q127" s="72"/>
      <c r="R127" s="72"/>
    </row>
    <row r="128" spans="2:16" ht="16.5" thickBot="1">
      <c r="B128" s="17"/>
      <c r="C128" s="17"/>
      <c r="D128" s="17"/>
      <c r="E128" s="17"/>
      <c r="F128" s="17"/>
      <c r="L128" s="17"/>
      <c r="M128" s="17"/>
      <c r="N128" s="17"/>
      <c r="O128" s="17"/>
      <c r="P128" s="17"/>
    </row>
    <row r="129" spans="2:16" ht="15.75">
      <c r="B129" s="165" t="s">
        <v>34</v>
      </c>
      <c r="C129" s="166" t="s">
        <v>130</v>
      </c>
      <c r="D129" s="55" t="s">
        <v>131</v>
      </c>
      <c r="E129" s="185" t="s">
        <v>43</v>
      </c>
      <c r="F129" s="186"/>
      <c r="L129" s="165" t="s">
        <v>34</v>
      </c>
      <c r="M129" s="166" t="s">
        <v>130</v>
      </c>
      <c r="N129" s="55" t="s">
        <v>131</v>
      </c>
      <c r="O129" s="279" t="s">
        <v>43</v>
      </c>
      <c r="P129" s="280"/>
    </row>
    <row r="130" spans="2:16" ht="16.5" thickBot="1">
      <c r="B130" s="167" t="s">
        <v>19</v>
      </c>
      <c r="C130" s="168" t="s">
        <v>39</v>
      </c>
      <c r="D130" s="169" t="s">
        <v>14</v>
      </c>
      <c r="E130" s="170" t="s">
        <v>108</v>
      </c>
      <c r="F130" s="171" t="s">
        <v>13</v>
      </c>
      <c r="L130" s="167" t="s">
        <v>19</v>
      </c>
      <c r="M130" s="168" t="s">
        <v>39</v>
      </c>
      <c r="N130" s="169" t="s">
        <v>14</v>
      </c>
      <c r="O130" s="170" t="s">
        <v>108</v>
      </c>
      <c r="P130" s="171" t="s">
        <v>13</v>
      </c>
    </row>
    <row r="131" spans="2:17" ht="16.5" thickBot="1">
      <c r="B131" s="188" t="s">
        <v>35</v>
      </c>
      <c r="C131" s="73">
        <v>429</v>
      </c>
      <c r="D131" s="73">
        <v>0.1</v>
      </c>
      <c r="E131" s="73">
        <v>1</v>
      </c>
      <c r="F131" s="74">
        <f>C131*D131*E131</f>
        <v>42.900000000000006</v>
      </c>
      <c r="G131" s="75"/>
      <c r="L131" s="188" t="s">
        <v>191</v>
      </c>
      <c r="M131" s="73">
        <v>429</v>
      </c>
      <c r="N131" s="73">
        <v>0.5</v>
      </c>
      <c r="O131" s="73">
        <v>1</v>
      </c>
      <c r="P131" s="74">
        <f>M131*N131*O131</f>
        <v>214.5</v>
      </c>
      <c r="Q131" s="75"/>
    </row>
    <row r="132" spans="2:17" ht="16.5" thickBot="1">
      <c r="B132" s="189" t="s">
        <v>36</v>
      </c>
      <c r="C132" s="187">
        <v>0</v>
      </c>
      <c r="D132" s="187">
        <v>0.1</v>
      </c>
      <c r="E132" s="187">
        <v>1</v>
      </c>
      <c r="F132" s="74">
        <f>C132*D132*E132</f>
        <v>0</v>
      </c>
      <c r="G132" s="75"/>
      <c r="L132" s="189" t="s">
        <v>36</v>
      </c>
      <c r="M132" s="187">
        <v>0</v>
      </c>
      <c r="N132" s="187">
        <v>0.1</v>
      </c>
      <c r="O132" s="187">
        <v>1</v>
      </c>
      <c r="P132" s="74">
        <f>M132*N132*O132</f>
        <v>0</v>
      </c>
      <c r="Q132" s="75"/>
    </row>
    <row r="133" spans="2:16" ht="16.5" thickBot="1">
      <c r="B133" s="189" t="s">
        <v>37</v>
      </c>
      <c r="C133" s="187">
        <v>0</v>
      </c>
      <c r="D133" s="187">
        <v>0.8</v>
      </c>
      <c r="E133" s="173">
        <v>1</v>
      </c>
      <c r="F133" s="74">
        <f>C133*D133*E133</f>
        <v>0</v>
      </c>
      <c r="L133" s="189" t="s">
        <v>37</v>
      </c>
      <c r="M133" s="187">
        <v>0</v>
      </c>
      <c r="N133" s="187">
        <v>0.8</v>
      </c>
      <c r="O133" s="173">
        <v>1</v>
      </c>
      <c r="P133" s="74">
        <f>M133*N133*O133</f>
        <v>0</v>
      </c>
    </row>
    <row r="134" spans="2:16" ht="16.5" thickBot="1">
      <c r="B134" s="37" t="s">
        <v>38</v>
      </c>
      <c r="C134" s="38">
        <v>0</v>
      </c>
      <c r="D134" s="39">
        <f>D133</f>
        <v>0.8</v>
      </c>
      <c r="E134" s="34">
        <f>E133</f>
        <v>1</v>
      </c>
      <c r="F134" s="30">
        <f>C134*D134*E134</f>
        <v>0</v>
      </c>
      <c r="L134" s="37" t="s">
        <v>38</v>
      </c>
      <c r="M134" s="38">
        <v>0</v>
      </c>
      <c r="N134" s="39">
        <f>N133</f>
        <v>0.8</v>
      </c>
      <c r="O134" s="34">
        <f>O133</f>
        <v>1</v>
      </c>
      <c r="P134" s="30">
        <f>M134*N134*O134</f>
        <v>0</v>
      </c>
    </row>
    <row r="135" spans="3:13" ht="15">
      <c r="C135" s="63">
        <f>SUM(C131:C134)</f>
        <v>429</v>
      </c>
      <c r="M135" s="63">
        <f>SUM(M131:M134)</f>
        <v>429</v>
      </c>
    </row>
    <row r="136" spans="6:19" ht="15">
      <c r="F136" s="374" t="s">
        <v>45</v>
      </c>
      <c r="G136" s="375"/>
      <c r="H136" s="174">
        <f>SUM(F131:F134)</f>
        <v>42.900000000000006</v>
      </c>
      <c r="I136" s="175" t="s">
        <v>13</v>
      </c>
      <c r="P136" s="374" t="s">
        <v>45</v>
      </c>
      <c r="Q136" s="375"/>
      <c r="R136" s="174">
        <f>SUM(P131:P134)</f>
        <v>214.5</v>
      </c>
      <c r="S136" s="175" t="s">
        <v>13</v>
      </c>
    </row>
    <row r="137" spans="6:19" ht="15">
      <c r="F137" s="277"/>
      <c r="G137" s="247" t="s">
        <v>158</v>
      </c>
      <c r="H137" s="248">
        <f>ROUND(H136*0.09,0)</f>
        <v>4</v>
      </c>
      <c r="I137" s="249" t="s">
        <v>29</v>
      </c>
      <c r="P137" s="277"/>
      <c r="Q137" s="247" t="s">
        <v>158</v>
      </c>
      <c r="R137" s="248">
        <f>ROUND(R136*0.15,0)</f>
        <v>32</v>
      </c>
      <c r="S137" s="249" t="s">
        <v>29</v>
      </c>
    </row>
    <row r="138" ht="12.75">
      <c r="G138" s="151"/>
    </row>
    <row r="139" ht="13.5" thickBot="1"/>
    <row r="140" spans="2:9" ht="18">
      <c r="B140" s="371" t="s">
        <v>152</v>
      </c>
      <c r="C140" s="372"/>
      <c r="D140" s="372"/>
      <c r="E140" s="372"/>
      <c r="F140" s="373"/>
      <c r="G140" s="211"/>
      <c r="H140" s="214" t="s">
        <v>149</v>
      </c>
      <c r="I140" s="215"/>
    </row>
    <row r="141" spans="2:9" ht="18.75" thickBot="1">
      <c r="B141" s="220" t="s">
        <v>154</v>
      </c>
      <c r="C141" s="194" t="s">
        <v>139</v>
      </c>
      <c r="D141" s="195" t="s">
        <v>141</v>
      </c>
      <c r="E141" s="196" t="s">
        <v>140</v>
      </c>
      <c r="F141" s="197" t="s">
        <v>142</v>
      </c>
      <c r="G141" s="198" t="s">
        <v>147</v>
      </c>
      <c r="H141" s="212" t="s">
        <v>148</v>
      </c>
      <c r="I141" s="213" t="s">
        <v>146</v>
      </c>
    </row>
    <row r="142" spans="2:9" ht="18">
      <c r="B142" s="199" t="s">
        <v>143</v>
      </c>
      <c r="C142" s="200">
        <v>100</v>
      </c>
      <c r="D142" s="200">
        <v>0.2</v>
      </c>
      <c r="E142" s="200">
        <v>0.5</v>
      </c>
      <c r="F142" s="201">
        <f>C142*D142*E142</f>
        <v>10</v>
      </c>
      <c r="G142" s="202">
        <f>(C142+C142*0.2)*I142*0.888</f>
        <v>426.24</v>
      </c>
      <c r="H142" s="202">
        <f>(C142+C142*0.2)*I142*1.21</f>
        <v>580.8</v>
      </c>
      <c r="I142" s="203">
        <v>4</v>
      </c>
    </row>
    <row r="143" spans="2:9" ht="18">
      <c r="B143" s="204" t="s">
        <v>144</v>
      </c>
      <c r="C143" s="190">
        <v>100</v>
      </c>
      <c r="D143" s="190">
        <v>0.2</v>
      </c>
      <c r="E143" s="190">
        <v>0.5</v>
      </c>
      <c r="F143" s="191">
        <f>C143*D143*E143</f>
        <v>10</v>
      </c>
      <c r="G143" s="192">
        <f>(C143+C143*0.2)*I143*0.888</f>
        <v>426.24</v>
      </c>
      <c r="H143" s="192">
        <f>(C143+C143*0.2)*I143*1.21</f>
        <v>580.8</v>
      </c>
      <c r="I143" s="205">
        <v>4</v>
      </c>
    </row>
    <row r="144" spans="2:9" ht="18.75" thickBot="1">
      <c r="B144" s="206" t="s">
        <v>145</v>
      </c>
      <c r="C144" s="207">
        <v>0</v>
      </c>
      <c r="D144" s="207">
        <v>0.2</v>
      </c>
      <c r="E144" s="207">
        <v>0.5</v>
      </c>
      <c r="F144" s="208">
        <f>C144*D144*E144</f>
        <v>0</v>
      </c>
      <c r="G144" s="209">
        <f>(C144+C144*0.2)*I144*0.888</f>
        <v>0</v>
      </c>
      <c r="H144" s="209">
        <f>(C144+C144*0.2)*I144*1.21</f>
        <v>0</v>
      </c>
      <c r="I144" s="210">
        <v>4</v>
      </c>
    </row>
    <row r="145" spans="4:9" ht="18.75">
      <c r="D145" s="369" t="s">
        <v>150</v>
      </c>
      <c r="E145" s="367" t="s">
        <v>151</v>
      </c>
      <c r="F145" s="216">
        <f>SUM(F142:F144)</f>
        <v>20</v>
      </c>
      <c r="G145" s="365" t="s">
        <v>153</v>
      </c>
      <c r="H145" s="217">
        <f>(SUM(G142:G144)+SUM(H142:H144))/1000</f>
        <v>2.01408</v>
      </c>
      <c r="I145" s="193"/>
    </row>
    <row r="146" spans="4:8" ht="19.5" thickBot="1">
      <c r="D146" s="370"/>
      <c r="E146" s="368"/>
      <c r="F146" s="218" t="s">
        <v>13</v>
      </c>
      <c r="G146" s="366"/>
      <c r="H146" s="219" t="s">
        <v>29</v>
      </c>
    </row>
    <row r="157" spans="2:15" ht="18">
      <c r="B157" s="384" t="s">
        <v>202</v>
      </c>
      <c r="C157" s="384"/>
      <c r="D157" s="384"/>
      <c r="E157" s="384"/>
      <c r="F157" s="384"/>
      <c r="H157" s="292" t="s">
        <v>201</v>
      </c>
      <c r="I157" s="292"/>
      <c r="M157" s="291" t="s">
        <v>200</v>
      </c>
      <c r="N157" s="291"/>
      <c r="O157" s="290"/>
    </row>
    <row r="158" spans="2:5" ht="18.75" thickBot="1">
      <c r="B158" s="281"/>
      <c r="C158" s="281"/>
      <c r="D158" s="281"/>
      <c r="E158" s="281"/>
    </row>
    <row r="159" spans="2:17" ht="15.75">
      <c r="B159" s="378" t="s">
        <v>192</v>
      </c>
      <c r="C159" s="379"/>
      <c r="D159" s="295">
        <v>300</v>
      </c>
      <c r="E159" s="282" t="s">
        <v>39</v>
      </c>
      <c r="F159" s="4"/>
      <c r="H159" s="378" t="s">
        <v>192</v>
      </c>
      <c r="I159" s="379"/>
      <c r="J159" s="295">
        <v>200</v>
      </c>
      <c r="K159" s="284" t="s">
        <v>39</v>
      </c>
      <c r="M159" s="378" t="s">
        <v>192</v>
      </c>
      <c r="N159" s="379"/>
      <c r="O159" s="297">
        <v>500</v>
      </c>
      <c r="P159" s="390" t="s">
        <v>39</v>
      </c>
      <c r="Q159" s="391"/>
    </row>
    <row r="160" spans="2:17" ht="15.75">
      <c r="B160" s="380" t="s">
        <v>193</v>
      </c>
      <c r="C160" s="381"/>
      <c r="D160" s="296">
        <v>10</v>
      </c>
      <c r="E160" s="283"/>
      <c r="F160" s="4"/>
      <c r="H160" s="380" t="s">
        <v>193</v>
      </c>
      <c r="I160" s="381"/>
      <c r="J160" s="296">
        <v>4</v>
      </c>
      <c r="K160" s="285"/>
      <c r="M160" s="380" t="s">
        <v>193</v>
      </c>
      <c r="N160" s="381"/>
      <c r="O160" s="298">
        <v>4</v>
      </c>
      <c r="P160" s="392"/>
      <c r="Q160" s="393"/>
    </row>
    <row r="161" spans="2:17" ht="16.5" thickBot="1">
      <c r="B161" s="382" t="s">
        <v>194</v>
      </c>
      <c r="C161" s="383"/>
      <c r="D161" s="287">
        <f>D159*D160*0.5</f>
        <v>1500</v>
      </c>
      <c r="E161" s="288" t="s">
        <v>13</v>
      </c>
      <c r="F161" s="4"/>
      <c r="H161" s="385" t="s">
        <v>195</v>
      </c>
      <c r="I161" s="386"/>
      <c r="J161" s="286">
        <f>J159*J160*3</f>
        <v>2400</v>
      </c>
      <c r="K161" s="289" t="s">
        <v>39</v>
      </c>
      <c r="M161" s="327" t="s">
        <v>196</v>
      </c>
      <c r="N161" s="387"/>
      <c r="O161" s="298">
        <f>O159*O160/2</f>
        <v>1000</v>
      </c>
      <c r="P161" s="392" t="s">
        <v>197</v>
      </c>
      <c r="Q161" s="393"/>
    </row>
    <row r="162" spans="13:17" ht="16.5" thickBot="1">
      <c r="M162" s="388" t="s">
        <v>199</v>
      </c>
      <c r="N162" s="389"/>
      <c r="O162" s="299">
        <f>O159*O160/8</f>
        <v>250</v>
      </c>
      <c r="P162" s="394" t="s">
        <v>198</v>
      </c>
      <c r="Q162" s="395"/>
    </row>
    <row r="165" spans="2:4" ht="18">
      <c r="B165" s="322" t="s">
        <v>209</v>
      </c>
      <c r="C165" s="322"/>
      <c r="D165" s="322"/>
    </row>
    <row r="166" ht="13.5" thickBot="1"/>
    <row r="167" spans="2:5" ht="15.75">
      <c r="B167" s="302" t="s">
        <v>204</v>
      </c>
      <c r="C167" s="303"/>
      <c r="D167" s="304">
        <v>400</v>
      </c>
      <c r="E167" s="305" t="s">
        <v>39</v>
      </c>
    </row>
    <row r="168" spans="2:5" ht="15.75">
      <c r="B168" s="327" t="s">
        <v>205</v>
      </c>
      <c r="C168" s="328"/>
      <c r="D168" s="294">
        <v>4</v>
      </c>
      <c r="E168" s="306"/>
    </row>
    <row r="169" spans="2:5" ht="15.75">
      <c r="B169" s="307" t="s">
        <v>206</v>
      </c>
      <c r="C169" s="293"/>
      <c r="D169" s="294">
        <f>(D167*0.52+D167*(D168-1)*0.3)*2.5</f>
        <v>1420</v>
      </c>
      <c r="E169" s="306" t="s">
        <v>29</v>
      </c>
    </row>
    <row r="170" spans="2:5" ht="15.75">
      <c r="B170" s="323" t="s">
        <v>207</v>
      </c>
      <c r="C170" s="324"/>
      <c r="D170" s="294">
        <v>1.3</v>
      </c>
      <c r="E170" s="306" t="s">
        <v>208</v>
      </c>
    </row>
    <row r="171" spans="2:5" ht="15.75" thickBot="1">
      <c r="B171" s="325" t="s">
        <v>203</v>
      </c>
      <c r="C171" s="326"/>
      <c r="D171" s="308">
        <f>ROUND(D169/(D167*D170),1)</f>
        <v>2.7</v>
      </c>
      <c r="E171" s="309" t="s">
        <v>14</v>
      </c>
    </row>
    <row r="174" spans="2:4" ht="18">
      <c r="B174" s="300" t="s">
        <v>210</v>
      </c>
      <c r="C174" s="300"/>
      <c r="D174" s="301"/>
    </row>
    <row r="175" ht="13.5" thickBot="1"/>
    <row r="176" spans="2:5" ht="15.75">
      <c r="B176" s="329" t="s">
        <v>211</v>
      </c>
      <c r="C176" s="330"/>
      <c r="D176" s="303">
        <f>1.2*D168</f>
        <v>4.8</v>
      </c>
      <c r="E176" s="305" t="s">
        <v>212</v>
      </c>
    </row>
    <row r="177" spans="2:5" ht="18">
      <c r="B177" s="318" t="s">
        <v>213</v>
      </c>
      <c r="C177" s="319"/>
      <c r="D177" s="294">
        <v>15</v>
      </c>
      <c r="E177" s="306" t="s">
        <v>212</v>
      </c>
    </row>
    <row r="178" spans="2:5" ht="19.5" thickBot="1">
      <c r="B178" s="316" t="s">
        <v>214</v>
      </c>
      <c r="C178" s="317"/>
      <c r="D178" s="310">
        <f>D176/D177</f>
        <v>0.32</v>
      </c>
      <c r="E178" s="311"/>
    </row>
    <row r="179" spans="2:7" ht="15" customHeight="1" thickBot="1">
      <c r="B179" s="313" t="str">
        <f>IF(D178&lt;0.67," Footing","Coeff.&lt;1 Raft or Coeff. &gt;1 Piles")</f>
        <v> Footing</v>
      </c>
      <c r="C179" s="314"/>
      <c r="D179" s="314"/>
      <c r="E179" s="314"/>
      <c r="F179" s="315"/>
      <c r="G179" s="312"/>
    </row>
    <row r="180" spans="2:3" ht="12.75">
      <c r="B180" s="320"/>
      <c r="C180" s="321"/>
    </row>
  </sheetData>
  <sheetProtection/>
  <mergeCells count="51">
    <mergeCell ref="M159:N159"/>
    <mergeCell ref="M160:N160"/>
    <mergeCell ref="M161:N161"/>
    <mergeCell ref="M162:N162"/>
    <mergeCell ref="P159:Q159"/>
    <mergeCell ref="P160:Q160"/>
    <mergeCell ref="P161:Q161"/>
    <mergeCell ref="P162:Q162"/>
    <mergeCell ref="B159:C159"/>
    <mergeCell ref="B160:C160"/>
    <mergeCell ref="B161:C161"/>
    <mergeCell ref="B157:F157"/>
    <mergeCell ref="H159:I159"/>
    <mergeCell ref="H160:I160"/>
    <mergeCell ref="H161:I161"/>
    <mergeCell ref="P72:Q72"/>
    <mergeCell ref="G145:G146"/>
    <mergeCell ref="E145:E146"/>
    <mergeCell ref="D145:D146"/>
    <mergeCell ref="B140:F140"/>
    <mergeCell ref="F136:G136"/>
    <mergeCell ref="J120:J121"/>
    <mergeCell ref="P136:Q136"/>
    <mergeCell ref="I19:K19"/>
    <mergeCell ref="C19:E19"/>
    <mergeCell ref="D35:E35"/>
    <mergeCell ref="D48:F48"/>
    <mergeCell ref="H48:J48"/>
    <mergeCell ref="H109:J109"/>
    <mergeCell ref="E109:G109"/>
    <mergeCell ref="F70:H70"/>
    <mergeCell ref="C66:D66"/>
    <mergeCell ref="E33:G33"/>
    <mergeCell ref="H4:M4"/>
    <mergeCell ref="B4:G4"/>
    <mergeCell ref="B5:B6"/>
    <mergeCell ref="H5:H6"/>
    <mergeCell ref="L17:M17"/>
    <mergeCell ref="D72:F72"/>
    <mergeCell ref="H72:J72"/>
    <mergeCell ref="H35:I35"/>
    <mergeCell ref="G32:H32"/>
    <mergeCell ref="F46:H46"/>
    <mergeCell ref="B178:C178"/>
    <mergeCell ref="B177:C177"/>
    <mergeCell ref="B180:C180"/>
    <mergeCell ref="B165:D165"/>
    <mergeCell ref="B170:C170"/>
    <mergeCell ref="B171:C171"/>
    <mergeCell ref="B168:C168"/>
    <mergeCell ref="B176:C176"/>
  </mergeCells>
  <printOptions/>
  <pageMargins left="0.7" right="0.7" top="0.75" bottom="0.75" header="0.3" footer="0.3"/>
  <pageSetup horizontalDpi="300" verticalDpi="300" orientation="landscape" paperSize="9" r:id="rId2"/>
  <headerFooter alignWithMargins="0">
    <oddHeader xml:space="preserve">&amp;LBy:
Eng.Ahmad Salah Hably&amp;C&amp;"Arial,Italic"&amp;18Concrete Quantities&amp;R&amp;"Arial,Bold"Procject:                      
No~:                      </oddHeader>
    <oddFooter>&amp;C&amp;N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Manoj</cp:lastModifiedBy>
  <cp:lastPrinted>2005-03-26T09:36:20Z</cp:lastPrinted>
  <dcterms:created xsi:type="dcterms:W3CDTF">2005-04-07T20:58:55Z</dcterms:created>
  <dcterms:modified xsi:type="dcterms:W3CDTF">2017-06-05T12:13:43Z</dcterms:modified>
  <cp:category/>
  <cp:version/>
  <cp:contentType/>
  <cp:contentStatus/>
</cp:coreProperties>
</file>