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1" activeTab="0"/>
  </bookViews>
  <sheets>
    <sheet name="Detailed Calculations" sheetId="1" r:id="rId1"/>
    <sheet name="Calculation Summary Sheet" sheetId="2" r:id="rId2"/>
  </sheets>
  <definedNames>
    <definedName name="B">'Detailed Calculations'!$I$36</definedName>
    <definedName name="bo">'Detailed Calculations'!$G$103</definedName>
    <definedName name="d">'Detailed Calculations'!$J$42</definedName>
    <definedName name="dd">'Detailed Calculations'!$J$43</definedName>
    <definedName name="df">'Detailed Calculations'!$I$51</definedName>
    <definedName name="e">((Mz+Fx*(H/1000+hh/1000))/Fv)*1000</definedName>
    <definedName name="fc">'Detailed Calculations'!$D$20</definedName>
    <definedName name="Fux1">'Detailed Calculations'!$D$30</definedName>
    <definedName name="Fux2">'Detailed Calculations'!$F$30</definedName>
    <definedName name="Fux3">'Detailed Calculations'!$H$30</definedName>
    <definedName name="Fux4">'Detailed Calculations'!$K$30</definedName>
    <definedName name="Fuy1">'Detailed Calculations'!$D$31</definedName>
    <definedName name="Fuy2">'Detailed Calculations'!$F$31</definedName>
    <definedName name="Fuy3">'Detailed Calculations'!$H$31</definedName>
    <definedName name="Fuy4">'Detailed Calculations'!$K$31</definedName>
    <definedName name="Fv">'Detailed Calculations'!$E$77</definedName>
    <definedName name="Fx">'Detailed Calculations'!$C$13</definedName>
    <definedName name="Fy">'Detailed Calculations'!$D$13</definedName>
    <definedName name="fyy">'Detailed Calculations'!$D$22</definedName>
    <definedName name="H">'Detailed Calculations'!$C$15</definedName>
    <definedName name="hh">'Detailed Calculations'!$E$15</definedName>
    <definedName name="hw">'Detailed Calculations'!$C$16</definedName>
    <definedName name="L">'Detailed Calculations'!$L$36</definedName>
    <definedName name="Muz1">'Detailed Calculations'!$D$32</definedName>
    <definedName name="Muz2">'Detailed Calculations'!$F$32</definedName>
    <definedName name="Muz3">'Detailed Calculations'!$H$32</definedName>
    <definedName name="Muz4">'Detailed Calculations'!$K$32</definedName>
    <definedName name="Mz">'Detailed Calculations'!$E$13</definedName>
    <definedName name="phi">'Detailed Calculations'!$G$25</definedName>
    <definedName name="_xlnm.Print_Area" localSheetId="0">'Detailed Calculations'!$A$1:$N$196</definedName>
    <definedName name="qa">'Detailed Calculations'!$D$24</definedName>
    <definedName name="qGP">'Calculation Summary Sheet'!$G$29</definedName>
    <definedName name="qmax">'Detailed Calculations'!$I$77</definedName>
    <definedName name="qmin">'Detailed Calculations'!$M$77</definedName>
    <definedName name="qu11">'Detailed Calculations'!$D$61</definedName>
    <definedName name="qu12">'Detailed Calculations'!$F$61</definedName>
    <definedName name="qu13">'Detailed Calculations'!$H$61</definedName>
    <definedName name="qu14">'Detailed Calculations'!$J$61</definedName>
    <definedName name="qu21">'Detailed Calculations'!$D$62</definedName>
    <definedName name="qu22">'Detailed Calculations'!$F$62</definedName>
    <definedName name="qu23">'Detailed Calculations'!$H$62</definedName>
    <definedName name="qu24">'Detailed Calculations'!$J$62</definedName>
    <definedName name="qu31">'Detailed Calculations'!$D$63</definedName>
    <definedName name="qu32">'Detailed Calculations'!$F$63</definedName>
    <definedName name="qu33">'Detailed Calculations'!$H$63</definedName>
    <definedName name="qu34">'Detailed Calculations'!$J$63</definedName>
    <definedName name="qu41">'Detailed Calculations'!$D$64</definedName>
    <definedName name="qu42">'Detailed Calculations'!$F$64</definedName>
    <definedName name="qu43">'Detailed Calculations'!$H$64</definedName>
    <definedName name="qu44">'Detailed Calculations'!$J$64</definedName>
    <definedName name="qu51">'Detailed Calculations'!$D$65</definedName>
    <definedName name="qu52">'Detailed Calculations'!$F$65</definedName>
    <definedName name="qu53">'Detailed Calculations'!$H$65</definedName>
    <definedName name="qu54">'Detailed Calculations'!$J$65</definedName>
    <definedName name="qu61">'Detailed Calculations'!$D$66</definedName>
    <definedName name="qu62">'Detailed Calculations'!$F$66</definedName>
    <definedName name="qu63">'Detailed Calculations'!$H$66</definedName>
    <definedName name="qu64">'Detailed Calculations'!$J$66</definedName>
    <definedName name="qumax1">'Detailed Calculations'!$D$59</definedName>
    <definedName name="qumax2">'Detailed Calculations'!$F$59</definedName>
    <definedName name="qumax3">'Detailed Calculations'!$H$59</definedName>
    <definedName name="qumax4">'Detailed Calculations'!$J$59</definedName>
    <definedName name="qumin1">'Detailed Calculations'!$D$60</definedName>
    <definedName name="qumin2">'Detailed Calculations'!$F$60</definedName>
    <definedName name="qumin3">'Detailed Calculations'!$H$60</definedName>
    <definedName name="qumin4">'Detailed Calculations'!$J$60</definedName>
    <definedName name="s">'Detailed Calculations'!$E$16</definedName>
    <definedName name="vc">'Detailed Calculations'!#REF!</definedName>
    <definedName name="x">'Detailed Calculations'!$C$18</definedName>
    <definedName name="y">'Detailed Calculations'!$E$18</definedName>
  </definedNames>
  <calcPr fullCalcOnLoad="1"/>
</workbook>
</file>

<file path=xl/sharedStrings.xml><?xml version="1.0" encoding="utf-8"?>
<sst xmlns="http://schemas.openxmlformats.org/spreadsheetml/2006/main" count="291" uniqueCount="170">
  <si>
    <t>Project:</t>
  </si>
  <si>
    <t>Date:</t>
  </si>
  <si>
    <t>Page</t>
  </si>
  <si>
    <t>Issue:</t>
  </si>
  <si>
    <t>Revised by:</t>
  </si>
  <si>
    <t>Checked by:</t>
  </si>
  <si>
    <t>Wind</t>
  </si>
  <si>
    <t>Dead</t>
  </si>
  <si>
    <t>Live</t>
  </si>
  <si>
    <t>Loads (kN)</t>
  </si>
  <si>
    <t>L/B</t>
  </si>
  <si>
    <t>Design</t>
  </si>
  <si>
    <t>Test2</t>
  </si>
  <si>
    <t>Test1</t>
  </si>
  <si>
    <t>Input Data</t>
  </si>
  <si>
    <t>Mz (kN.m)</t>
  </si>
  <si>
    <t>Foundation Properties</t>
  </si>
  <si>
    <t>qa (kN/m2) =</t>
  </si>
  <si>
    <t>Muz (kN.m) =</t>
  </si>
  <si>
    <t>Mz + Fx * (H + h)</t>
  </si>
  <si>
    <t>Total Df (kN) =</t>
  </si>
  <si>
    <t>Concrete Slab =</t>
  </si>
  <si>
    <t>Pedestal =</t>
  </si>
  <si>
    <t>Soil above Slab =</t>
  </si>
  <si>
    <t>Saturated Soil =</t>
  </si>
  <si>
    <t>Contact Pressure</t>
  </si>
  <si>
    <t>Fy + Df</t>
  </si>
  <si>
    <t>qmax (kN/m2)</t>
  </si>
  <si>
    <t>qmin (kN/m2)</t>
  </si>
  <si>
    <t>Fv (kN) =</t>
  </si>
  <si>
    <t>1 of 2</t>
  </si>
  <si>
    <t>2 of 2</t>
  </si>
  <si>
    <t>Pedestal Dimension</t>
  </si>
  <si>
    <t>qumax (kN/m2)</t>
  </si>
  <si>
    <t>qumin (kN/m2)</t>
  </si>
  <si>
    <t>q1 (kN/m2)</t>
  </si>
  <si>
    <t>q2 (kN/m2)</t>
  </si>
  <si>
    <t>q3 (kN/m2)</t>
  </si>
  <si>
    <t>q4 (kN/m2)</t>
  </si>
  <si>
    <t>q5 (kN/m2)</t>
  </si>
  <si>
    <t>q6 (kN/m2)</t>
  </si>
  <si>
    <t>Vc (kN) =</t>
  </si>
  <si>
    <t>Reinforcement:</t>
  </si>
  <si>
    <t>B * L * D * 25</t>
  </si>
  <si>
    <t>x * y * (H+h - D) * 25</t>
  </si>
  <si>
    <t>(B*L - x*y) * (H - hw) * 20</t>
  </si>
  <si>
    <t>(B*L - x*y) * (hw - D) * (20-10)</t>
  </si>
  <si>
    <t>Overturning moment =</t>
  </si>
  <si>
    <t>Stabilizing moment =</t>
  </si>
  <si>
    <t>Fv * (L/2)</t>
  </si>
  <si>
    <t>(1/6) * SQRT(fc) * B * d</t>
  </si>
  <si>
    <t>(1/3) * sqrt(f'c) * bo * d</t>
  </si>
  <si>
    <t>((40 * d/bo) + 2) * (1/12)* SQRT(f'c) * bo * d</t>
  </si>
  <si>
    <t>Allowable Soil Pressure</t>
  </si>
  <si>
    <t>CHECKING:</t>
  </si>
  <si>
    <t>Bottom Reinforcement</t>
  </si>
  <si>
    <t>Top Reinforcement</t>
  </si>
  <si>
    <t>Mu (kN.m)*</t>
  </si>
  <si>
    <t xml:space="preserve">  Mu (Bottom R) = q3 * B * 0.5*(L/2-x/2)^2 + 0.5*(qumax-q3) * B * (2/3)*(L/2-x/2)^2</t>
  </si>
  <si>
    <t xml:space="preserve">  Mu (Bottom R) = 0.5*(qumax+qumin) * L * 0.5*(B/2-y/2)^2</t>
  </si>
  <si>
    <t>Stability against</t>
  </si>
  <si>
    <t>Overturning</t>
  </si>
  <si>
    <t>Overturning moment</t>
  </si>
  <si>
    <t>Stabilizing moment</t>
  </si>
  <si>
    <t>kN.m</t>
  </si>
  <si>
    <t xml:space="preserve">Stability against </t>
  </si>
  <si>
    <t>Sliding</t>
  </si>
  <si>
    <t>0.9D+1.3W</t>
  </si>
  <si>
    <t>Ultimate Loads (ACI 9.2.)</t>
  </si>
  <si>
    <t>1.4D+1.7L</t>
  </si>
  <si>
    <t>0.75(1.4D+1.7L+1.7W)</t>
  </si>
  <si>
    <t>0.75(1.4D+1.7L+1.87E)</t>
  </si>
  <si>
    <t>Sum</t>
  </si>
  <si>
    <t>Factors</t>
  </si>
  <si>
    <t>Approximate Base Dimensions</t>
  </si>
  <si>
    <t>Concrete Strength</t>
  </si>
  <si>
    <t>Base Soil angle of internal friction</t>
  </si>
  <si>
    <t>Steel Strength</t>
  </si>
  <si>
    <t>E</t>
  </si>
  <si>
    <t>Approximate Base Dimensions  B &amp; L Based on Unfactored Loads (ACI 15.1.)</t>
  </si>
  <si>
    <t>User Input Dimensions</t>
  </si>
  <si>
    <t>Load Case</t>
  </si>
  <si>
    <t>*</t>
  </si>
  <si>
    <t xml:space="preserve">User Input Depth </t>
  </si>
  <si>
    <t>min cover 70mm (ACI 7.7.)</t>
  </si>
  <si>
    <t>min 150mm (ACI 15.7.)</t>
  </si>
  <si>
    <t>*qumax (kN/m2)</t>
  </si>
  <si>
    <t>Foundation Weight Df (kN)</t>
  </si>
  <si>
    <t>Net Ultimate Stresses Profile (kN/m2)</t>
  </si>
  <si>
    <t>Vu / 0.85Vc</t>
  </si>
  <si>
    <t>max Vu / 0.85Vc =</t>
  </si>
  <si>
    <t>2 * [(x+d)+(y+d)]</t>
  </si>
  <si>
    <t>*Vu = 0.5 * (q1+qumax) * (L/2 - x/2 - d) * B</t>
  </si>
  <si>
    <t>Vu (kN)* =</t>
  </si>
  <si>
    <t>*Vu (kN) = Fuy - (0.5 * (q2+q5)) * (x+d) * (y+d)</t>
  </si>
  <si>
    <t>Stability Against Overturning</t>
  </si>
  <si>
    <t>Stability Against Sliding</t>
  </si>
  <si>
    <t>( 1 + 2/(x/y) ) * (1/6) * SQRT(f'c) * bo * d</t>
  </si>
  <si>
    <t>Check Wide Beam Shear</t>
  </si>
  <si>
    <t>Check Punching Shear</t>
  </si>
  <si>
    <t>Vc (kN)</t>
  </si>
  <si>
    <t>max Vu (kN)</t>
  </si>
  <si>
    <t xml:space="preserve">  Mu (Top R) = qumin * B * 0.5 * (L/2-x/2)^2        (approximation)</t>
  </si>
  <si>
    <t>(ACI 10.3.2)</t>
  </si>
  <si>
    <t>Results:</t>
  </si>
  <si>
    <t>Base Dimensions</t>
  </si>
  <si>
    <t>Reinforcment</t>
  </si>
  <si>
    <t>Px</t>
  </si>
  <si>
    <t>Py</t>
  </si>
  <si>
    <t>Pux (kN) =</t>
  </si>
  <si>
    <t>Puy (kN) =</t>
  </si>
  <si>
    <t>Check wide beam shear in the x-direction (ACI 11.3.)</t>
  </si>
  <si>
    <t>Vc (kN) = min of</t>
  </si>
  <si>
    <t>x - Direction</t>
  </si>
  <si>
    <t>z - Direction</t>
  </si>
  <si>
    <t>* x - direction moments:</t>
  </si>
  <si>
    <t>* z - direction moment:</t>
  </si>
  <si>
    <t>L =</t>
  </si>
  <si>
    <t>x</t>
  </si>
  <si>
    <t>z</t>
  </si>
  <si>
    <t>As (cm2) =</t>
  </si>
  <si>
    <t>(x - direction)</t>
  </si>
  <si>
    <t>(z - direction)</t>
  </si>
  <si>
    <t>(in both directions)</t>
  </si>
  <si>
    <t>Isolated Foundation Calculation (ACI)</t>
  </si>
  <si>
    <t>fy (N/mm2) =</t>
  </si>
  <si>
    <t>H (mm)</t>
  </si>
  <si>
    <t>hw (mm)</t>
  </si>
  <si>
    <t>h (mm)</t>
  </si>
  <si>
    <t>x (mm)</t>
  </si>
  <si>
    <t>y (mm)</t>
  </si>
  <si>
    <t>B (mm) =</t>
  </si>
  <si>
    <t>L (mm) =</t>
  </si>
  <si>
    <t xml:space="preserve">d (mm) </t>
  </si>
  <si>
    <t>d (mm)=</t>
  </si>
  <si>
    <t>D (mm)=</t>
  </si>
  <si>
    <t xml:space="preserve">bo (mm) = </t>
  </si>
  <si>
    <t>As (cm2)=</t>
  </si>
  <si>
    <t>H =</t>
  </si>
  <si>
    <t>GWT</t>
  </si>
  <si>
    <t>D =</t>
  </si>
  <si>
    <t>mm</t>
  </si>
  <si>
    <t>B =</t>
  </si>
  <si>
    <t>* Dimensions are in mm</t>
  </si>
  <si>
    <t>Fx</t>
  </si>
  <si>
    <t>Fy</t>
  </si>
  <si>
    <t>Fux (kN) =</t>
  </si>
  <si>
    <t>Fuy (kN) =</t>
  </si>
  <si>
    <t>d =</t>
  </si>
  <si>
    <t>f'c (N/mm2) =</t>
  </si>
  <si>
    <r>
      <t>q</t>
    </r>
    <r>
      <rPr>
        <vertAlign val="subscript"/>
        <sz val="8"/>
        <rFont val="Arial"/>
        <family val="2"/>
      </rPr>
      <t>GP</t>
    </r>
    <r>
      <rPr>
        <sz val="8"/>
        <rFont val="Arial"/>
        <family val="2"/>
      </rPr>
      <t xml:space="preserve"> (gross pressure) (kN/m2) =</t>
    </r>
  </si>
  <si>
    <r>
      <t>q</t>
    </r>
    <r>
      <rPr>
        <vertAlign val="subscript"/>
        <sz val="10"/>
        <rFont val="Arial"/>
        <family val="2"/>
      </rPr>
      <t>GP</t>
    </r>
    <r>
      <rPr>
        <sz val="10"/>
        <rFont val="Arial"/>
        <family val="2"/>
      </rPr>
      <t xml:space="preserve"> (gross pressure) (kN/m2) =</t>
    </r>
  </si>
  <si>
    <t>qmax =</t>
  </si>
  <si>
    <t>kN/m2</t>
  </si>
  <si>
    <t>qmin =</t>
  </si>
  <si>
    <r>
      <t>q</t>
    </r>
    <r>
      <rPr>
        <vertAlign val="subscript"/>
        <sz val="10"/>
        <rFont val="Arial"/>
        <family val="2"/>
      </rPr>
      <t xml:space="preserve">GP </t>
    </r>
    <r>
      <rPr>
        <sz val="10"/>
        <rFont val="Arial"/>
        <family val="2"/>
      </rPr>
      <t xml:space="preserve">= </t>
    </r>
  </si>
  <si>
    <t>kN</t>
  </si>
  <si>
    <r>
      <t>q</t>
    </r>
    <r>
      <rPr>
        <b/>
        <vertAlign val="subscript"/>
        <sz val="8"/>
        <rFont val="Arial"/>
        <family val="2"/>
      </rPr>
      <t xml:space="preserve">GP </t>
    </r>
    <r>
      <rPr>
        <b/>
        <sz val="8"/>
        <rFont val="Arial"/>
        <family val="2"/>
      </rPr>
      <t xml:space="preserve">= </t>
    </r>
  </si>
  <si>
    <t>1 of 3</t>
  </si>
  <si>
    <r>
      <t xml:space="preserve"> </t>
    </r>
    <r>
      <rPr>
        <b/>
        <sz val="10"/>
        <rFont val="Symbol"/>
        <family val="1"/>
      </rPr>
      <t>r</t>
    </r>
    <r>
      <rPr>
        <b/>
        <sz val="10"/>
        <rFont val="Arial"/>
        <family val="2"/>
      </rPr>
      <t xml:space="preserve"> =</t>
    </r>
  </si>
  <si>
    <t>Isolated Foundation Calculation (ACI 318M-95)</t>
  </si>
  <si>
    <t>2 of 3</t>
  </si>
  <si>
    <t>Check punching shear    (ACI  11.12)</t>
  </si>
  <si>
    <r>
      <t xml:space="preserve"> </t>
    </r>
    <r>
      <rPr>
        <b/>
        <sz val="8"/>
        <rFont val="Symbol"/>
        <family val="1"/>
      </rPr>
      <t>r</t>
    </r>
    <r>
      <rPr>
        <b/>
        <sz val="8"/>
        <rFont val="Arial"/>
        <family val="2"/>
      </rPr>
      <t xml:space="preserve"> =</t>
    </r>
  </si>
  <si>
    <r>
      <t xml:space="preserve">max </t>
    </r>
    <r>
      <rPr>
        <b/>
        <sz val="8"/>
        <rFont val="Symbol"/>
        <family val="1"/>
      </rPr>
      <t>r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</si>
  <si>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8"/>
        <rFont val="Arial"/>
        <family val="2"/>
      </rPr>
      <t xml:space="preserve"> min = 0.0018  (ACI 7.12.)</t>
    </r>
  </si>
  <si>
    <r>
      <t>r</t>
    </r>
    <r>
      <rPr>
        <b/>
        <sz val="8"/>
        <rFont val="Arial"/>
        <family val="2"/>
      </rPr>
      <t xml:space="preserve"> max = 0.75 (0.85 f'c / fy) (600 / 600+fy) =</t>
    </r>
  </si>
  <si>
    <t>Approximate Footing Effective Depth d Assuming Punching Shear Governs (ACI 11.12)</t>
  </si>
  <si>
    <t>Verification example from [Nawy, P.584]</t>
  </si>
  <si>
    <t>Foundation Level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</si>
</sst>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&quot;د.إ.&quot;\ * #,##0.00_-;_-&quot;د.إ.&quot;\ * #,##0.00\-;_-&quot;د.إ.&quot;\ * &quot;-&quot;??_-;_-@_-"/>
    <numFmt numFmtId="178" formatCode="0.000"/>
    <numFmt numFmtId="179" formatCode="0.000000"/>
    <numFmt numFmtId="180" formatCode="0.0000"/>
  </numFmts>
  <fonts count="5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double"/>
      <sz val="8"/>
      <name val="Arial"/>
      <family val="2"/>
    </font>
    <font>
      <u val="single"/>
      <sz val="8"/>
      <name val="Arial"/>
      <family val="2"/>
    </font>
    <font>
      <b/>
      <u val="double"/>
      <sz val="12"/>
      <name val="Arial"/>
      <family val="2"/>
    </font>
    <font>
      <b/>
      <u val="double"/>
      <sz val="10"/>
      <name val="Arial"/>
      <family val="2"/>
    </font>
    <font>
      <sz val="12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sz val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center"/>
      <protection hidden="1" locked="0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 locked="0"/>
    </xf>
    <xf numFmtId="0" fontId="2" fillId="0" borderId="18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178" fontId="2" fillId="0" borderId="17" xfId="0" applyNumberFormat="1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2" fillId="33" borderId="25" xfId="0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78" fontId="2" fillId="0" borderId="0" xfId="0" applyNumberFormat="1" applyFont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2" fontId="2" fillId="0" borderId="12" xfId="0" applyNumberFormat="1" applyFont="1" applyBorder="1" applyAlignment="1" applyProtection="1">
      <alignment horizontal="center"/>
      <protection hidden="1"/>
    </xf>
    <xf numFmtId="178" fontId="2" fillId="0" borderId="12" xfId="0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180" fontId="2" fillId="0" borderId="38" xfId="0" applyNumberFormat="1" applyFont="1" applyBorder="1" applyAlignment="1" applyProtection="1">
      <alignment horizontal="center"/>
      <protection hidden="1"/>
    </xf>
    <xf numFmtId="180" fontId="2" fillId="0" borderId="24" xfId="0" applyNumberFormat="1" applyFont="1" applyBorder="1" applyAlignment="1" applyProtection="1">
      <alignment horizontal="center"/>
      <protection hidden="1"/>
    </xf>
    <xf numFmtId="0" fontId="4" fillId="35" borderId="39" xfId="0" applyFont="1" applyFill="1" applyBorder="1" applyAlignment="1" applyProtection="1">
      <alignment horizontal="center"/>
      <protection hidden="1"/>
    </xf>
    <xf numFmtId="0" fontId="4" fillId="35" borderId="40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80" fontId="2" fillId="0" borderId="12" xfId="0" applyNumberFormat="1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80" fontId="2" fillId="0" borderId="14" xfId="0" applyNumberFormat="1" applyFont="1" applyBorder="1" applyAlignment="1" applyProtection="1">
      <alignment horizontal="center"/>
      <protection hidden="1"/>
    </xf>
    <xf numFmtId="180" fontId="2" fillId="0" borderId="22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left"/>
      <protection hidden="1"/>
    </xf>
    <xf numFmtId="0" fontId="4" fillId="34" borderId="26" xfId="0" applyFont="1" applyFill="1" applyBorder="1" applyAlignment="1" applyProtection="1">
      <alignment horizontal="left"/>
      <protection hidden="1"/>
    </xf>
    <xf numFmtId="0" fontId="4" fillId="34" borderId="22" xfId="0" applyFont="1" applyFill="1" applyBorder="1" applyAlignment="1" applyProtection="1">
      <alignment horizontal="left"/>
      <protection hidden="1"/>
    </xf>
    <xf numFmtId="0" fontId="2" fillId="34" borderId="23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/>
      <protection locked="0"/>
    </xf>
    <xf numFmtId="0" fontId="4" fillId="0" borderId="49" xfId="0" applyFont="1" applyFill="1" applyBorder="1" applyAlignment="1" applyProtection="1">
      <alignment horizontal="left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 horizontal="left"/>
      <protection hidden="1"/>
    </xf>
    <xf numFmtId="0" fontId="3" fillId="34" borderId="26" xfId="0" applyFont="1" applyFill="1" applyBorder="1" applyAlignment="1" applyProtection="1">
      <alignment horizontal="left"/>
      <protection hidden="1"/>
    </xf>
    <xf numFmtId="0" fontId="3" fillId="34" borderId="22" xfId="0" applyFont="1" applyFill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2" fillId="34" borderId="25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3" fillId="33" borderId="54" xfId="0" applyFont="1" applyFill="1" applyBorder="1" applyAlignment="1" applyProtection="1">
      <alignment horizontal="left" vertical="center" wrapText="1"/>
      <protection hidden="1"/>
    </xf>
    <xf numFmtId="0" fontId="3" fillId="33" borderId="55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3" fillId="33" borderId="31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hidden="1" locked="0"/>
    </xf>
    <xf numFmtId="0" fontId="11" fillId="0" borderId="20" xfId="0" applyFont="1" applyFill="1" applyBorder="1" applyAlignment="1" applyProtection="1">
      <alignment horizontal="center" vertical="center"/>
      <protection hidden="1" locked="0"/>
    </xf>
    <xf numFmtId="0" fontId="11" fillId="0" borderId="52" xfId="0" applyFont="1" applyFill="1" applyBorder="1" applyAlignment="1" applyProtection="1">
      <alignment horizontal="center" vertical="center"/>
      <protection hidden="1" locked="0"/>
    </xf>
    <xf numFmtId="0" fontId="11" fillId="0" borderId="16" xfId="0" applyFont="1" applyFill="1" applyBorder="1" applyAlignment="1" applyProtection="1">
      <alignment horizontal="center" vertical="center"/>
      <protection hidden="1" locked="0"/>
    </xf>
    <xf numFmtId="0" fontId="11" fillId="0" borderId="17" xfId="0" applyFont="1" applyFill="1" applyBorder="1" applyAlignment="1" applyProtection="1">
      <alignment horizontal="center" vertical="center"/>
      <protection hidden="1" locked="0"/>
    </xf>
    <xf numFmtId="0" fontId="11" fillId="0" borderId="53" xfId="0" applyFont="1" applyFill="1" applyBorder="1" applyAlignment="1" applyProtection="1">
      <alignment horizontal="center" vertical="center"/>
      <protection hidden="1" locked="0"/>
    </xf>
    <xf numFmtId="0" fontId="4" fillId="0" borderId="48" xfId="0" applyFont="1" applyFill="1" applyBorder="1" applyAlignment="1" applyProtection="1">
      <alignment horizontal="left"/>
      <protection hidden="1" locked="0"/>
    </xf>
    <xf numFmtId="0" fontId="4" fillId="0" borderId="49" xfId="0" applyFont="1" applyFill="1" applyBorder="1" applyAlignment="1" applyProtection="1">
      <alignment horizontal="left"/>
      <protection hidden="1" locked="0"/>
    </xf>
    <xf numFmtId="0" fontId="5" fillId="0" borderId="48" xfId="0" applyFont="1" applyFill="1" applyBorder="1" applyAlignment="1" applyProtection="1">
      <alignment horizont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 locked="0"/>
    </xf>
    <xf numFmtId="0" fontId="5" fillId="0" borderId="49" xfId="0" applyFont="1" applyFill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2" fontId="2" fillId="0" borderId="38" xfId="0" applyNumberFormat="1" applyFont="1" applyBorder="1" applyAlignment="1" applyProtection="1">
      <alignment horizontal="center"/>
      <protection hidden="1"/>
    </xf>
    <xf numFmtId="2" fontId="2" fillId="0" borderId="24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left"/>
      <protection hidden="1" locked="0"/>
    </xf>
    <xf numFmtId="0" fontId="4" fillId="0" borderId="22" xfId="0" applyFont="1" applyFill="1" applyBorder="1" applyAlignment="1" applyProtection="1">
      <alignment horizontal="left"/>
      <protection hidden="1" locked="0"/>
    </xf>
    <xf numFmtId="0" fontId="5" fillId="0" borderId="14" xfId="0" applyFont="1" applyFill="1" applyBorder="1" applyAlignment="1" applyProtection="1">
      <alignment horizontal="center"/>
      <protection hidden="1" locked="0"/>
    </xf>
    <xf numFmtId="0" fontId="5" fillId="0" borderId="26" xfId="0" applyFont="1" applyFill="1" applyBorder="1" applyAlignment="1" applyProtection="1">
      <alignment horizontal="center"/>
      <protection hidden="1" locked="0"/>
    </xf>
    <xf numFmtId="0" fontId="5" fillId="0" borderId="22" xfId="0" applyFont="1" applyFill="1" applyBorder="1" applyAlignment="1" applyProtection="1">
      <alignment horizont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54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4" fillId="0" borderId="16" xfId="0" applyFont="1" applyFill="1" applyBorder="1" applyAlignment="1" applyProtection="1">
      <alignment horizontal="left" vertical="center"/>
      <protection hidden="1" locked="0"/>
    </xf>
    <xf numFmtId="0" fontId="4" fillId="0" borderId="17" xfId="0" applyFont="1" applyFill="1" applyBorder="1" applyAlignment="1" applyProtection="1">
      <alignment horizontal="left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 locked="0"/>
    </xf>
    <xf numFmtId="0" fontId="5" fillId="0" borderId="27" xfId="0" applyFont="1" applyFill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26" xfId="0" applyFont="1" applyFill="1" applyBorder="1" applyAlignment="1" applyProtection="1">
      <alignment horizontal="left"/>
      <protection hidden="1" locked="0"/>
    </xf>
    <xf numFmtId="0" fontId="4" fillId="0" borderId="46" xfId="0" applyFont="1" applyBorder="1" applyAlignment="1" applyProtection="1">
      <alignment horizontal="left"/>
      <protection hidden="1" locked="0"/>
    </xf>
    <xf numFmtId="0" fontId="4" fillId="0" borderId="47" xfId="0" applyFont="1" applyBorder="1" applyAlignment="1" applyProtection="1">
      <alignment horizontal="left"/>
      <protection hidden="1" locked="0"/>
    </xf>
    <xf numFmtId="0" fontId="5" fillId="0" borderId="43" xfId="0" applyFont="1" applyBorder="1" applyAlignment="1" applyProtection="1">
      <alignment horizontal="center"/>
      <protection hidden="1" locked="0"/>
    </xf>
    <xf numFmtId="0" fontId="5" fillId="0" borderId="46" xfId="0" applyFont="1" applyBorder="1" applyAlignment="1" applyProtection="1">
      <alignment horizontal="center"/>
      <protection hidden="1" locked="0"/>
    </xf>
    <xf numFmtId="0" fontId="5" fillId="0" borderId="47" xfId="0" applyFont="1" applyBorder="1" applyAlignment="1" applyProtection="1">
      <alignment horizont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55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3" fillId="35" borderId="12" xfId="0" applyFont="1" applyFill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35" borderId="14" xfId="0" applyFont="1" applyFill="1" applyBorder="1" applyAlignment="1" applyProtection="1">
      <alignment horizontal="center"/>
      <protection hidden="1"/>
    </xf>
    <xf numFmtId="0" fontId="3" fillId="35" borderId="26" xfId="0" applyFont="1" applyFill="1" applyBorder="1" applyAlignment="1" applyProtection="1">
      <alignment horizontal="center"/>
      <protection hidden="1"/>
    </xf>
    <xf numFmtId="0" fontId="3" fillId="35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46</xdr:row>
      <xdr:rowOff>47625</xdr:rowOff>
    </xdr:from>
    <xdr:to>
      <xdr:col>13</xdr:col>
      <xdr:colOff>285750</xdr:colOff>
      <xdr:row>56</xdr:row>
      <xdr:rowOff>38100</xdr:rowOff>
    </xdr:to>
    <xdr:grpSp>
      <xdr:nvGrpSpPr>
        <xdr:cNvPr id="1" name="Group 239"/>
        <xdr:cNvGrpSpPr>
          <a:grpSpLocks/>
        </xdr:cNvGrpSpPr>
      </xdr:nvGrpSpPr>
      <xdr:grpSpPr>
        <a:xfrm>
          <a:off x="3619500" y="6858000"/>
          <a:ext cx="2114550" cy="1419225"/>
          <a:chOff x="380" y="718"/>
          <a:chExt cx="222" cy="149"/>
        </a:xfrm>
        <a:solidFill>
          <a:srgbClr val="FFFFFF"/>
        </a:solidFill>
      </xdr:grpSpPr>
      <xdr:sp>
        <xdr:nvSpPr>
          <xdr:cNvPr id="2" name="Rectangle 61"/>
          <xdr:cNvSpPr>
            <a:spLocks/>
          </xdr:cNvSpPr>
        </xdr:nvSpPr>
        <xdr:spPr>
          <a:xfrm>
            <a:off x="411" y="770"/>
            <a:ext cx="172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2"/>
          <xdr:cNvSpPr>
            <a:spLocks/>
          </xdr:cNvSpPr>
        </xdr:nvSpPr>
        <xdr:spPr>
          <a:xfrm>
            <a:off x="472" y="718"/>
            <a:ext cx="42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3"/>
          <xdr:cNvSpPr>
            <a:spLocks/>
          </xdr:cNvSpPr>
        </xdr:nvSpPr>
        <xdr:spPr>
          <a:xfrm flipV="1">
            <a:off x="583" y="804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4"/>
          <xdr:cNvSpPr>
            <a:spLocks/>
          </xdr:cNvSpPr>
        </xdr:nvSpPr>
        <xdr:spPr>
          <a:xfrm flipV="1">
            <a:off x="411" y="804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5"/>
          <xdr:cNvSpPr>
            <a:spLocks/>
          </xdr:cNvSpPr>
        </xdr:nvSpPr>
        <xdr:spPr>
          <a:xfrm>
            <a:off x="411" y="821"/>
            <a:ext cx="172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"/>
          <xdr:cNvSpPr>
            <a:spLocks/>
          </xdr:cNvSpPr>
        </xdr:nvSpPr>
        <xdr:spPr>
          <a:xfrm flipV="1">
            <a:off x="560" y="804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7"/>
          <xdr:cNvSpPr>
            <a:spLocks/>
          </xdr:cNvSpPr>
        </xdr:nvSpPr>
        <xdr:spPr>
          <a:xfrm flipV="1">
            <a:off x="544" y="804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8"/>
          <xdr:cNvSpPr>
            <a:spLocks/>
          </xdr:cNvSpPr>
        </xdr:nvSpPr>
        <xdr:spPr>
          <a:xfrm flipV="1">
            <a:off x="519" y="804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9"/>
          <xdr:cNvSpPr>
            <a:spLocks/>
          </xdr:cNvSpPr>
        </xdr:nvSpPr>
        <xdr:spPr>
          <a:xfrm flipV="1">
            <a:off x="499" y="804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0"/>
          <xdr:cNvSpPr>
            <a:spLocks/>
          </xdr:cNvSpPr>
        </xdr:nvSpPr>
        <xdr:spPr>
          <a:xfrm flipV="1">
            <a:off x="472" y="80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71"/>
          <xdr:cNvSpPr>
            <a:spLocks/>
          </xdr:cNvSpPr>
        </xdr:nvSpPr>
        <xdr:spPr>
          <a:xfrm flipV="1">
            <a:off x="455" y="804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2"/>
          <xdr:cNvSpPr>
            <a:spLocks/>
          </xdr:cNvSpPr>
        </xdr:nvSpPr>
        <xdr:spPr>
          <a:xfrm flipV="1">
            <a:off x="427" y="80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73"/>
          <xdr:cNvSpPr txBox="1">
            <a:spLocks noChangeArrowheads="1"/>
          </xdr:cNvSpPr>
        </xdr:nvSpPr>
        <xdr:spPr>
          <a:xfrm>
            <a:off x="561" y="848"/>
            <a:ext cx="4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qumax</a:t>
            </a:r>
          </a:p>
        </xdr:txBody>
      </xdr:sp>
      <xdr:sp>
        <xdr:nvSpPr>
          <xdr:cNvPr id="15" name="Text Box 74"/>
          <xdr:cNvSpPr txBox="1">
            <a:spLocks noChangeArrowheads="1"/>
          </xdr:cNvSpPr>
        </xdr:nvSpPr>
        <xdr:spPr>
          <a:xfrm>
            <a:off x="380" y="829"/>
            <a:ext cx="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qumin</a:t>
            </a:r>
          </a:p>
        </xdr:txBody>
      </xdr:sp>
      <xdr:sp>
        <xdr:nvSpPr>
          <xdr:cNvPr id="16" name="Line 75"/>
          <xdr:cNvSpPr>
            <a:spLocks/>
          </xdr:cNvSpPr>
        </xdr:nvSpPr>
        <xdr:spPr>
          <a:xfrm>
            <a:off x="514" y="778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76"/>
          <xdr:cNvSpPr>
            <a:spLocks/>
          </xdr:cNvSpPr>
        </xdr:nvSpPr>
        <xdr:spPr>
          <a:xfrm>
            <a:off x="472" y="777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7"/>
          <xdr:cNvSpPr>
            <a:spLocks/>
          </xdr:cNvSpPr>
        </xdr:nvSpPr>
        <xdr:spPr>
          <a:xfrm>
            <a:off x="553" y="7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8"/>
          <xdr:cNvSpPr>
            <a:spLocks/>
          </xdr:cNvSpPr>
        </xdr:nvSpPr>
        <xdr:spPr>
          <a:xfrm>
            <a:off x="529" y="75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9"/>
          <xdr:cNvSpPr>
            <a:spLocks/>
          </xdr:cNvSpPr>
        </xdr:nvSpPr>
        <xdr:spPr>
          <a:xfrm>
            <a:off x="458" y="754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80"/>
          <xdr:cNvSpPr>
            <a:spLocks/>
          </xdr:cNvSpPr>
        </xdr:nvSpPr>
        <xdr:spPr>
          <a:xfrm>
            <a:off x="436" y="736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81"/>
          <xdr:cNvSpPr txBox="1">
            <a:spLocks noChangeArrowheads="1"/>
          </xdr:cNvSpPr>
        </xdr:nvSpPr>
        <xdr:spPr>
          <a:xfrm>
            <a:off x="526" y="728"/>
            <a:ext cx="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3" name="Text Box 82"/>
          <xdr:cNvSpPr txBox="1">
            <a:spLocks noChangeArrowheads="1"/>
          </xdr:cNvSpPr>
        </xdr:nvSpPr>
        <xdr:spPr>
          <a:xfrm>
            <a:off x="448" y="727"/>
            <a:ext cx="1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24" name="Text Box 83"/>
          <xdr:cNvSpPr txBox="1">
            <a:spLocks noChangeArrowheads="1"/>
          </xdr:cNvSpPr>
        </xdr:nvSpPr>
        <xdr:spPr>
          <a:xfrm>
            <a:off x="514" y="748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d/2</a:t>
            </a:r>
          </a:p>
        </xdr:txBody>
      </xdr:sp>
      <xdr:sp>
        <xdr:nvSpPr>
          <xdr:cNvPr id="25" name="Text Box 84"/>
          <xdr:cNvSpPr txBox="1">
            <a:spLocks noChangeArrowheads="1"/>
          </xdr:cNvSpPr>
        </xdr:nvSpPr>
        <xdr:spPr>
          <a:xfrm>
            <a:off x="458" y="748"/>
            <a:ext cx="1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d/2</a:t>
            </a:r>
          </a:p>
        </xdr:txBody>
      </xdr:sp>
      <xdr:sp>
        <xdr:nvSpPr>
          <xdr:cNvPr id="26" name="Line 85"/>
          <xdr:cNvSpPr>
            <a:spLocks/>
          </xdr:cNvSpPr>
        </xdr:nvSpPr>
        <xdr:spPr>
          <a:xfrm flipH="1">
            <a:off x="556" y="73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6"/>
          <xdr:cNvSpPr>
            <a:spLocks/>
          </xdr:cNvSpPr>
        </xdr:nvSpPr>
        <xdr:spPr>
          <a:xfrm flipH="1">
            <a:off x="530" y="75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7"/>
          <xdr:cNvSpPr>
            <a:spLocks/>
          </xdr:cNvSpPr>
        </xdr:nvSpPr>
        <xdr:spPr>
          <a:xfrm>
            <a:off x="419" y="736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8"/>
          <xdr:cNvSpPr>
            <a:spLocks/>
          </xdr:cNvSpPr>
        </xdr:nvSpPr>
        <xdr:spPr>
          <a:xfrm>
            <a:off x="441" y="75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89"/>
          <xdr:cNvSpPr txBox="1">
            <a:spLocks noChangeArrowheads="1"/>
          </xdr:cNvSpPr>
        </xdr:nvSpPr>
        <xdr:spPr>
          <a:xfrm>
            <a:off x="547" y="839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</a:t>
            </a:r>
          </a:p>
        </xdr:txBody>
      </xdr:sp>
      <xdr:sp>
        <xdr:nvSpPr>
          <xdr:cNvPr id="31" name="Text Box 90"/>
          <xdr:cNvSpPr txBox="1">
            <a:spLocks noChangeArrowheads="1"/>
          </xdr:cNvSpPr>
        </xdr:nvSpPr>
        <xdr:spPr>
          <a:xfrm>
            <a:off x="523" y="836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</a:t>
            </a:r>
          </a:p>
        </xdr:txBody>
      </xdr:sp>
      <xdr:sp>
        <xdr:nvSpPr>
          <xdr:cNvPr id="32" name="Text Box 91"/>
          <xdr:cNvSpPr txBox="1">
            <a:spLocks noChangeArrowheads="1"/>
          </xdr:cNvSpPr>
        </xdr:nvSpPr>
        <xdr:spPr>
          <a:xfrm>
            <a:off x="505" y="832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</a:t>
            </a:r>
          </a:p>
        </xdr:txBody>
      </xdr:sp>
      <xdr:sp>
        <xdr:nvSpPr>
          <xdr:cNvPr id="33" name="Text Box 92"/>
          <xdr:cNvSpPr txBox="1">
            <a:spLocks noChangeArrowheads="1"/>
          </xdr:cNvSpPr>
        </xdr:nvSpPr>
        <xdr:spPr>
          <a:xfrm>
            <a:off x="465" y="828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</a:t>
            </a:r>
          </a:p>
        </xdr:txBody>
      </xdr:sp>
      <xdr:sp>
        <xdr:nvSpPr>
          <xdr:cNvPr id="34" name="Text Box 93"/>
          <xdr:cNvSpPr txBox="1">
            <a:spLocks noChangeArrowheads="1"/>
          </xdr:cNvSpPr>
        </xdr:nvSpPr>
        <xdr:spPr>
          <a:xfrm>
            <a:off x="450" y="826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q5</a:t>
            </a:r>
          </a:p>
        </xdr:txBody>
      </xdr:sp>
      <xdr:sp>
        <xdr:nvSpPr>
          <xdr:cNvPr id="35" name="Text Box 94"/>
          <xdr:cNvSpPr txBox="1">
            <a:spLocks noChangeArrowheads="1"/>
          </xdr:cNvSpPr>
        </xdr:nvSpPr>
        <xdr:spPr>
          <a:xfrm>
            <a:off x="428" y="822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q6</a:t>
            </a:r>
          </a:p>
        </xdr:txBody>
      </xdr:sp>
    </xdr:grpSp>
    <xdr:clientData/>
  </xdr:twoCellAnchor>
  <xdr:twoCellAnchor>
    <xdr:from>
      <xdr:col>0</xdr:col>
      <xdr:colOff>200025</xdr:colOff>
      <xdr:row>148</xdr:row>
      <xdr:rowOff>0</xdr:rowOff>
    </xdr:from>
    <xdr:to>
      <xdr:col>12</xdr:col>
      <xdr:colOff>304800</xdr:colOff>
      <xdr:row>179</xdr:row>
      <xdr:rowOff>47625</xdr:rowOff>
    </xdr:to>
    <xdr:grpSp>
      <xdr:nvGrpSpPr>
        <xdr:cNvPr id="36" name="Group 190"/>
        <xdr:cNvGrpSpPr>
          <a:grpSpLocks/>
        </xdr:cNvGrpSpPr>
      </xdr:nvGrpSpPr>
      <xdr:grpSpPr>
        <a:xfrm>
          <a:off x="200025" y="21945600"/>
          <a:ext cx="5133975" cy="5048250"/>
          <a:chOff x="21" y="2217"/>
          <a:chExt cx="539" cy="530"/>
        </a:xfrm>
        <a:solidFill>
          <a:srgbClr val="FFFFFF"/>
        </a:solidFill>
      </xdr:grpSpPr>
      <xdr:sp>
        <xdr:nvSpPr>
          <xdr:cNvPr id="37" name="Rectangle 102"/>
          <xdr:cNvSpPr>
            <a:spLocks/>
          </xdr:cNvSpPr>
        </xdr:nvSpPr>
        <xdr:spPr>
          <a:xfrm>
            <a:off x="148" y="2437"/>
            <a:ext cx="271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103"/>
          <xdr:cNvSpPr>
            <a:spLocks/>
          </xdr:cNvSpPr>
        </xdr:nvSpPr>
        <xdr:spPr>
          <a:xfrm>
            <a:off x="255" y="2283"/>
            <a:ext cx="60" cy="1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129"/>
          <xdr:cNvSpPr>
            <a:spLocks/>
          </xdr:cNvSpPr>
        </xdr:nvSpPr>
        <xdr:spPr>
          <a:xfrm>
            <a:off x="148" y="2577"/>
            <a:ext cx="271" cy="1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04"/>
          <xdr:cNvSpPr>
            <a:spLocks/>
          </xdr:cNvSpPr>
        </xdr:nvSpPr>
        <xdr:spPr>
          <a:xfrm>
            <a:off x="159" y="2487"/>
            <a:ext cx="24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105"/>
          <xdr:cNvSpPr>
            <a:spLocks/>
          </xdr:cNvSpPr>
        </xdr:nvSpPr>
        <xdr:spPr>
          <a:xfrm>
            <a:off x="165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106"/>
          <xdr:cNvSpPr>
            <a:spLocks/>
          </xdr:cNvSpPr>
        </xdr:nvSpPr>
        <xdr:spPr>
          <a:xfrm>
            <a:off x="206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107"/>
          <xdr:cNvSpPr>
            <a:spLocks/>
          </xdr:cNvSpPr>
        </xdr:nvSpPr>
        <xdr:spPr>
          <a:xfrm>
            <a:off x="394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08"/>
          <xdr:cNvSpPr>
            <a:spLocks/>
          </xdr:cNvSpPr>
        </xdr:nvSpPr>
        <xdr:spPr>
          <a:xfrm>
            <a:off x="355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109"/>
          <xdr:cNvSpPr>
            <a:spLocks/>
          </xdr:cNvSpPr>
        </xdr:nvSpPr>
        <xdr:spPr>
          <a:xfrm>
            <a:off x="313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110"/>
          <xdr:cNvSpPr>
            <a:spLocks/>
          </xdr:cNvSpPr>
        </xdr:nvSpPr>
        <xdr:spPr>
          <a:xfrm>
            <a:off x="254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11"/>
          <xdr:cNvSpPr>
            <a:spLocks/>
          </xdr:cNvSpPr>
        </xdr:nvSpPr>
        <xdr:spPr>
          <a:xfrm>
            <a:off x="424" y="24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12"/>
          <xdr:cNvSpPr>
            <a:spLocks/>
          </xdr:cNvSpPr>
        </xdr:nvSpPr>
        <xdr:spPr>
          <a:xfrm>
            <a:off x="424" y="243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13"/>
          <xdr:cNvSpPr>
            <a:spLocks/>
          </xdr:cNvSpPr>
        </xdr:nvSpPr>
        <xdr:spPr>
          <a:xfrm>
            <a:off x="433" y="2437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14"/>
          <xdr:cNvSpPr>
            <a:spLocks/>
          </xdr:cNvSpPr>
        </xdr:nvSpPr>
        <xdr:spPr>
          <a:xfrm>
            <a:off x="148" y="250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5"/>
          <xdr:cNvSpPr>
            <a:spLocks/>
          </xdr:cNvSpPr>
        </xdr:nvSpPr>
        <xdr:spPr>
          <a:xfrm>
            <a:off x="420" y="250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17"/>
          <xdr:cNvSpPr>
            <a:spLocks/>
          </xdr:cNvSpPr>
        </xdr:nvSpPr>
        <xdr:spPr>
          <a:xfrm>
            <a:off x="122" y="249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18"/>
          <xdr:cNvSpPr>
            <a:spLocks/>
          </xdr:cNvSpPr>
        </xdr:nvSpPr>
        <xdr:spPr>
          <a:xfrm>
            <a:off x="123" y="243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9"/>
          <xdr:cNvSpPr>
            <a:spLocks/>
          </xdr:cNvSpPr>
        </xdr:nvSpPr>
        <xdr:spPr>
          <a:xfrm flipH="1">
            <a:off x="132" y="2437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20"/>
          <xdr:cNvSpPr>
            <a:spLocks/>
          </xdr:cNvSpPr>
        </xdr:nvSpPr>
        <xdr:spPr>
          <a:xfrm flipV="1">
            <a:off x="160" y="2447"/>
            <a:ext cx="24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121"/>
          <xdr:cNvSpPr>
            <a:spLocks/>
          </xdr:cNvSpPr>
        </xdr:nvSpPr>
        <xdr:spPr>
          <a:xfrm flipV="1">
            <a:off x="16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122"/>
          <xdr:cNvSpPr>
            <a:spLocks/>
          </xdr:cNvSpPr>
        </xdr:nvSpPr>
        <xdr:spPr>
          <a:xfrm flipV="1">
            <a:off x="206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123"/>
          <xdr:cNvSpPr>
            <a:spLocks/>
          </xdr:cNvSpPr>
        </xdr:nvSpPr>
        <xdr:spPr>
          <a:xfrm flipV="1">
            <a:off x="39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124"/>
          <xdr:cNvSpPr>
            <a:spLocks/>
          </xdr:cNvSpPr>
        </xdr:nvSpPr>
        <xdr:spPr>
          <a:xfrm flipV="1">
            <a:off x="355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25"/>
          <xdr:cNvSpPr>
            <a:spLocks/>
          </xdr:cNvSpPr>
        </xdr:nvSpPr>
        <xdr:spPr>
          <a:xfrm flipV="1">
            <a:off x="313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126"/>
          <xdr:cNvSpPr>
            <a:spLocks/>
          </xdr:cNvSpPr>
        </xdr:nvSpPr>
        <xdr:spPr>
          <a:xfrm flipV="1">
            <a:off x="25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32"/>
          <xdr:cNvSpPr>
            <a:spLocks/>
          </xdr:cNvSpPr>
        </xdr:nvSpPr>
        <xdr:spPr>
          <a:xfrm>
            <a:off x="255" y="2634"/>
            <a:ext cx="60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33"/>
          <xdr:cNvSpPr>
            <a:spLocks/>
          </xdr:cNvSpPr>
        </xdr:nvSpPr>
        <xdr:spPr>
          <a:xfrm>
            <a:off x="471" y="2694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34"/>
          <xdr:cNvSpPr>
            <a:spLocks/>
          </xdr:cNvSpPr>
        </xdr:nvSpPr>
        <xdr:spPr>
          <a:xfrm flipV="1">
            <a:off x="472" y="2627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35"/>
          <xdr:cNvSpPr>
            <a:spLocks/>
          </xdr:cNvSpPr>
        </xdr:nvSpPr>
        <xdr:spPr>
          <a:xfrm flipH="1">
            <a:off x="122" y="257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36"/>
          <xdr:cNvSpPr>
            <a:spLocks/>
          </xdr:cNvSpPr>
        </xdr:nvSpPr>
        <xdr:spPr>
          <a:xfrm flipH="1">
            <a:off x="121" y="274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37"/>
          <xdr:cNvSpPr>
            <a:spLocks/>
          </xdr:cNvSpPr>
        </xdr:nvSpPr>
        <xdr:spPr>
          <a:xfrm>
            <a:off x="132" y="2577"/>
            <a:ext cx="0" cy="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38"/>
          <xdr:cNvSpPr>
            <a:spLocks/>
          </xdr:cNvSpPr>
        </xdr:nvSpPr>
        <xdr:spPr>
          <a:xfrm flipH="1">
            <a:off x="36" y="23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39"/>
          <xdr:cNvSpPr>
            <a:spLocks/>
          </xdr:cNvSpPr>
        </xdr:nvSpPr>
        <xdr:spPr>
          <a:xfrm flipH="1">
            <a:off x="315" y="23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40"/>
          <xdr:cNvSpPr>
            <a:spLocks/>
          </xdr:cNvSpPr>
        </xdr:nvSpPr>
        <xdr:spPr>
          <a:xfrm flipH="1">
            <a:off x="255" y="269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1"/>
          <xdr:cNvSpPr>
            <a:spLocks/>
          </xdr:cNvSpPr>
        </xdr:nvSpPr>
        <xdr:spPr>
          <a:xfrm flipH="1">
            <a:off x="315" y="269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2"/>
          <xdr:cNvSpPr>
            <a:spLocks/>
          </xdr:cNvSpPr>
        </xdr:nvSpPr>
        <xdr:spPr>
          <a:xfrm flipH="1">
            <a:off x="239" y="2634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3"/>
          <xdr:cNvSpPr>
            <a:spLocks/>
          </xdr:cNvSpPr>
        </xdr:nvSpPr>
        <xdr:spPr>
          <a:xfrm flipH="1">
            <a:off x="238" y="268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4"/>
          <xdr:cNvSpPr>
            <a:spLocks/>
          </xdr:cNvSpPr>
        </xdr:nvSpPr>
        <xdr:spPr>
          <a:xfrm>
            <a:off x="255" y="2698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45"/>
          <xdr:cNvSpPr>
            <a:spLocks/>
          </xdr:cNvSpPr>
        </xdr:nvSpPr>
        <xdr:spPr>
          <a:xfrm>
            <a:off x="244" y="2634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46"/>
          <xdr:cNvSpPr>
            <a:spLocks/>
          </xdr:cNvSpPr>
        </xdr:nvSpPr>
        <xdr:spPr>
          <a:xfrm>
            <a:off x="372" y="2489"/>
            <a:ext cx="29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47"/>
          <xdr:cNvSpPr>
            <a:spLocks/>
          </xdr:cNvSpPr>
        </xdr:nvSpPr>
        <xdr:spPr>
          <a:xfrm flipH="1">
            <a:off x="146" y="2483"/>
            <a:ext cx="63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48"/>
          <xdr:cNvSpPr>
            <a:spLocks/>
          </xdr:cNvSpPr>
        </xdr:nvSpPr>
        <xdr:spPr>
          <a:xfrm>
            <a:off x="339" y="2514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49"/>
          <xdr:cNvSpPr>
            <a:spLocks/>
          </xdr:cNvSpPr>
        </xdr:nvSpPr>
        <xdr:spPr>
          <a:xfrm>
            <a:off x="150" y="2514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50"/>
          <xdr:cNvSpPr>
            <a:spLocks/>
          </xdr:cNvSpPr>
        </xdr:nvSpPr>
        <xdr:spPr>
          <a:xfrm flipH="1">
            <a:off x="358" y="2385"/>
            <a:ext cx="47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51"/>
          <xdr:cNvSpPr>
            <a:spLocks/>
          </xdr:cNvSpPr>
        </xdr:nvSpPr>
        <xdr:spPr>
          <a:xfrm flipH="1">
            <a:off x="54" y="228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52"/>
          <xdr:cNvSpPr>
            <a:spLocks/>
          </xdr:cNvSpPr>
        </xdr:nvSpPr>
        <xdr:spPr>
          <a:xfrm flipH="1" flipV="1">
            <a:off x="66" y="230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53"/>
          <xdr:cNvSpPr>
            <a:spLocks/>
          </xdr:cNvSpPr>
        </xdr:nvSpPr>
        <xdr:spPr>
          <a:xfrm flipH="1" flipV="1">
            <a:off x="66" y="226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54"/>
          <xdr:cNvSpPr>
            <a:spLocks/>
          </xdr:cNvSpPr>
        </xdr:nvSpPr>
        <xdr:spPr>
          <a:xfrm flipH="1">
            <a:off x="21" y="24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55"/>
          <xdr:cNvSpPr>
            <a:spLocks/>
          </xdr:cNvSpPr>
        </xdr:nvSpPr>
        <xdr:spPr>
          <a:xfrm flipV="1">
            <a:off x="66" y="2306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56"/>
          <xdr:cNvSpPr>
            <a:spLocks/>
          </xdr:cNvSpPr>
        </xdr:nvSpPr>
        <xdr:spPr>
          <a:xfrm>
            <a:off x="67" y="2405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57"/>
          <xdr:cNvSpPr>
            <a:spLocks/>
          </xdr:cNvSpPr>
        </xdr:nvSpPr>
        <xdr:spPr>
          <a:xfrm>
            <a:off x="140" y="2408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58"/>
          <xdr:cNvSpPr>
            <a:spLocks/>
          </xdr:cNvSpPr>
        </xdr:nvSpPr>
        <xdr:spPr>
          <a:xfrm flipH="1">
            <a:off x="113" y="2355"/>
            <a:ext cx="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159"/>
          <xdr:cNvSpPr>
            <a:spLocks/>
          </xdr:cNvSpPr>
        </xdr:nvSpPr>
        <xdr:spPr>
          <a:xfrm flipV="1">
            <a:off x="167" y="2344"/>
            <a:ext cx="11" cy="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60"/>
          <xdr:cNvSpPr>
            <a:spLocks/>
          </xdr:cNvSpPr>
        </xdr:nvSpPr>
        <xdr:spPr>
          <a:xfrm flipV="1">
            <a:off x="140" y="235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61"/>
          <xdr:cNvSpPr>
            <a:spLocks/>
          </xdr:cNvSpPr>
        </xdr:nvSpPr>
        <xdr:spPr>
          <a:xfrm>
            <a:off x="165" y="2358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62"/>
          <xdr:cNvSpPr>
            <a:spLocks/>
          </xdr:cNvSpPr>
        </xdr:nvSpPr>
        <xdr:spPr>
          <a:xfrm>
            <a:off x="168" y="2361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63"/>
          <xdr:cNvSpPr>
            <a:spLocks/>
          </xdr:cNvSpPr>
        </xdr:nvSpPr>
        <xdr:spPr>
          <a:xfrm>
            <a:off x="304" y="2293"/>
            <a:ext cx="0" cy="17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64"/>
          <xdr:cNvSpPr>
            <a:spLocks/>
          </xdr:cNvSpPr>
        </xdr:nvSpPr>
        <xdr:spPr>
          <a:xfrm>
            <a:off x="265" y="2293"/>
            <a:ext cx="0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168"/>
          <xdr:cNvSpPr txBox="1">
            <a:spLocks noChangeArrowheads="1"/>
          </xdr:cNvSpPr>
        </xdr:nvSpPr>
        <xdr:spPr>
          <a:xfrm>
            <a:off x="433" y="245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=</a:t>
            </a:r>
          </a:p>
        </xdr:txBody>
      </xdr:sp>
      <xdr:sp>
        <xdr:nvSpPr>
          <xdr:cNvPr id="96" name="Text Box 169"/>
          <xdr:cNvSpPr txBox="1">
            <a:spLocks noChangeArrowheads="1"/>
          </xdr:cNvSpPr>
        </xdr:nvSpPr>
        <xdr:spPr>
          <a:xfrm>
            <a:off x="338" y="2368"/>
            <a:ext cx="6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(cm2) =</a:t>
            </a:r>
          </a:p>
        </xdr:txBody>
      </xdr:sp>
      <xdr:sp>
        <xdr:nvSpPr>
          <xdr:cNvPr id="97" name="Text Box 170"/>
          <xdr:cNvSpPr txBox="1">
            <a:spLocks noChangeArrowheads="1"/>
          </xdr:cNvSpPr>
        </xdr:nvSpPr>
        <xdr:spPr>
          <a:xfrm>
            <a:off x="100" y="2385"/>
            <a:ext cx="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hw =</a:t>
            </a:r>
          </a:p>
        </xdr:txBody>
      </xdr:sp>
      <xdr:sp>
        <xdr:nvSpPr>
          <xdr:cNvPr id="100" name="Text Box 175"/>
          <xdr:cNvSpPr txBox="1">
            <a:spLocks noChangeArrowheads="1"/>
          </xdr:cNvSpPr>
        </xdr:nvSpPr>
        <xdr:spPr>
          <a:xfrm>
            <a:off x="193" y="2657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</a:t>
            </a:r>
          </a:p>
        </xdr:txBody>
      </xdr:sp>
      <xdr:sp>
        <xdr:nvSpPr>
          <xdr:cNvPr id="101" name="Text Box 176"/>
          <xdr:cNvSpPr txBox="1">
            <a:spLocks noChangeArrowheads="1"/>
          </xdr:cNvSpPr>
        </xdr:nvSpPr>
        <xdr:spPr>
          <a:xfrm>
            <a:off x="247" y="2708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=</a:t>
            </a:r>
          </a:p>
        </xdr:txBody>
      </xdr:sp>
      <xdr:sp>
        <xdr:nvSpPr>
          <xdr:cNvPr id="102" name="Text Box 178"/>
          <xdr:cNvSpPr txBox="1">
            <a:spLocks noChangeArrowheads="1"/>
          </xdr:cNvSpPr>
        </xdr:nvSpPr>
        <xdr:spPr>
          <a:xfrm>
            <a:off x="72" y="2451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=</a:t>
            </a:r>
          </a:p>
        </xdr:txBody>
      </xdr:sp>
      <xdr:sp>
        <xdr:nvSpPr>
          <xdr:cNvPr id="103" name="Line 179"/>
          <xdr:cNvSpPr>
            <a:spLocks/>
          </xdr:cNvSpPr>
        </xdr:nvSpPr>
        <xdr:spPr>
          <a:xfrm>
            <a:off x="284" y="223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Text Box 180"/>
          <xdr:cNvSpPr txBox="1">
            <a:spLocks noChangeArrowheads="1"/>
          </xdr:cNvSpPr>
        </xdr:nvSpPr>
        <xdr:spPr>
          <a:xfrm>
            <a:off x="23" y="2281"/>
            <a:ext cx="3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hw =</a:t>
            </a:r>
          </a:p>
        </xdr:txBody>
      </xdr:sp>
      <xdr:sp>
        <xdr:nvSpPr>
          <xdr:cNvPr id="105" name="Line 181"/>
          <xdr:cNvSpPr>
            <a:spLocks/>
          </xdr:cNvSpPr>
        </xdr:nvSpPr>
        <xdr:spPr>
          <a:xfrm>
            <a:off x="224" y="228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Text Box 187"/>
          <xdr:cNvSpPr txBox="1">
            <a:spLocks noChangeArrowheads="1"/>
          </xdr:cNvSpPr>
        </xdr:nvSpPr>
        <xdr:spPr>
          <a:xfrm>
            <a:off x="240" y="2217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 =</a:t>
            </a:r>
          </a:p>
        </xdr:txBody>
      </xdr:sp>
      <xdr:sp>
        <xdr:nvSpPr>
          <xdr:cNvPr id="108" name="Text Box 188"/>
          <xdr:cNvSpPr txBox="1">
            <a:spLocks noChangeArrowheads="1"/>
          </xdr:cNvSpPr>
        </xdr:nvSpPr>
        <xdr:spPr>
          <a:xfrm>
            <a:off x="160" y="2266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Fx =</a:t>
            </a:r>
          </a:p>
        </xdr:txBody>
      </xdr:sp>
      <xdr:sp>
        <xdr:nvSpPr>
          <xdr:cNvPr id="109" name="Text Box 189"/>
          <xdr:cNvSpPr txBox="1">
            <a:spLocks noChangeArrowheads="1"/>
          </xdr:cNvSpPr>
        </xdr:nvSpPr>
        <xdr:spPr>
          <a:xfrm>
            <a:off x="318" y="2264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Mz =</a:t>
            </a:r>
          </a:p>
        </xdr:txBody>
      </xdr:sp>
    </xdr:grpSp>
    <xdr:clientData/>
  </xdr:twoCellAnchor>
  <xdr:twoCellAnchor>
    <xdr:from>
      <xdr:col>9</xdr:col>
      <xdr:colOff>247650</xdr:colOff>
      <xdr:row>9</xdr:row>
      <xdr:rowOff>123825</xdr:rowOff>
    </xdr:from>
    <xdr:to>
      <xdr:col>10</xdr:col>
      <xdr:colOff>161925</xdr:colOff>
      <xdr:row>14</xdr:row>
      <xdr:rowOff>47625</xdr:rowOff>
    </xdr:to>
    <xdr:sp>
      <xdr:nvSpPr>
        <xdr:cNvPr id="110" name="Rectangle 197"/>
        <xdr:cNvSpPr>
          <a:spLocks/>
        </xdr:cNvSpPr>
      </xdr:nvSpPr>
      <xdr:spPr>
        <a:xfrm>
          <a:off x="4019550" y="1495425"/>
          <a:ext cx="3333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14</xdr:row>
      <xdr:rowOff>47625</xdr:rowOff>
    </xdr:from>
    <xdr:to>
      <xdr:col>11</xdr:col>
      <xdr:colOff>200025</xdr:colOff>
      <xdr:row>16</xdr:row>
      <xdr:rowOff>66675</xdr:rowOff>
    </xdr:to>
    <xdr:sp>
      <xdr:nvSpPr>
        <xdr:cNvPr id="111" name="Rectangle 198"/>
        <xdr:cNvSpPr>
          <a:spLocks/>
        </xdr:cNvSpPr>
      </xdr:nvSpPr>
      <xdr:spPr>
        <a:xfrm>
          <a:off x="3571875" y="213360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18</xdr:row>
      <xdr:rowOff>104775</xdr:rowOff>
    </xdr:from>
    <xdr:to>
      <xdr:col>11</xdr:col>
      <xdr:colOff>200025</xdr:colOff>
      <xdr:row>23</xdr:row>
      <xdr:rowOff>104775</xdr:rowOff>
    </xdr:to>
    <xdr:sp>
      <xdr:nvSpPr>
        <xdr:cNvPr id="112" name="Rectangle 200"/>
        <xdr:cNvSpPr>
          <a:spLocks/>
        </xdr:cNvSpPr>
      </xdr:nvSpPr>
      <xdr:spPr>
        <a:xfrm>
          <a:off x="3581400" y="2762250"/>
          <a:ext cx="12287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9525</xdr:rowOff>
    </xdr:from>
    <xdr:to>
      <xdr:col>9</xdr:col>
      <xdr:colOff>409575</xdr:colOff>
      <xdr:row>9</xdr:row>
      <xdr:rowOff>123825</xdr:rowOff>
    </xdr:to>
    <xdr:sp>
      <xdr:nvSpPr>
        <xdr:cNvPr id="113" name="Line 201"/>
        <xdr:cNvSpPr>
          <a:spLocks/>
        </xdr:cNvSpPr>
      </xdr:nvSpPr>
      <xdr:spPr>
        <a:xfrm>
          <a:off x="4181475" y="1238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123825</xdr:rowOff>
    </xdr:from>
    <xdr:to>
      <xdr:col>9</xdr:col>
      <xdr:colOff>400050</xdr:colOff>
      <xdr:row>9</xdr:row>
      <xdr:rowOff>123825</xdr:rowOff>
    </xdr:to>
    <xdr:sp>
      <xdr:nvSpPr>
        <xdr:cNvPr id="114" name="Line 202"/>
        <xdr:cNvSpPr>
          <a:spLocks/>
        </xdr:cNvSpPr>
      </xdr:nvSpPr>
      <xdr:spPr>
        <a:xfrm>
          <a:off x="3848100" y="1495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66675</xdr:rowOff>
    </xdr:from>
    <xdr:to>
      <xdr:col>9</xdr:col>
      <xdr:colOff>247650</xdr:colOff>
      <xdr:row>10</xdr:row>
      <xdr:rowOff>66675</xdr:rowOff>
    </xdr:to>
    <xdr:sp>
      <xdr:nvSpPr>
        <xdr:cNvPr id="115" name="Line 204"/>
        <xdr:cNvSpPr>
          <a:spLocks/>
        </xdr:cNvSpPr>
      </xdr:nvSpPr>
      <xdr:spPr>
        <a:xfrm flipH="1">
          <a:off x="3038475" y="15811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66675</xdr:rowOff>
    </xdr:from>
    <xdr:to>
      <xdr:col>8</xdr:col>
      <xdr:colOff>171450</xdr:colOff>
      <xdr:row>16</xdr:row>
      <xdr:rowOff>66675</xdr:rowOff>
    </xdr:to>
    <xdr:sp>
      <xdr:nvSpPr>
        <xdr:cNvPr id="116" name="Line 205"/>
        <xdr:cNvSpPr>
          <a:spLocks/>
        </xdr:cNvSpPr>
      </xdr:nvSpPr>
      <xdr:spPr>
        <a:xfrm flipH="1">
          <a:off x="3038475" y="2438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10</xdr:row>
      <xdr:rowOff>66675</xdr:rowOff>
    </xdr:from>
    <xdr:to>
      <xdr:col>7</xdr:col>
      <xdr:colOff>161925</xdr:colOff>
      <xdr:row>16</xdr:row>
      <xdr:rowOff>66675</xdr:rowOff>
    </xdr:to>
    <xdr:sp>
      <xdr:nvSpPr>
        <xdr:cNvPr id="117" name="Line 206"/>
        <xdr:cNvSpPr>
          <a:spLocks/>
        </xdr:cNvSpPr>
      </xdr:nvSpPr>
      <xdr:spPr>
        <a:xfrm>
          <a:off x="3095625" y="15811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47625</xdr:rowOff>
    </xdr:from>
    <xdr:to>
      <xdr:col>10</xdr:col>
      <xdr:colOff>161925</xdr:colOff>
      <xdr:row>22</xdr:row>
      <xdr:rowOff>19050</xdr:rowOff>
    </xdr:to>
    <xdr:sp>
      <xdr:nvSpPr>
        <xdr:cNvPr id="118" name="Rectangle 207"/>
        <xdr:cNvSpPr>
          <a:spLocks/>
        </xdr:cNvSpPr>
      </xdr:nvSpPr>
      <xdr:spPr>
        <a:xfrm>
          <a:off x="4019550" y="29908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123825</xdr:rowOff>
    </xdr:from>
    <xdr:to>
      <xdr:col>7</xdr:col>
      <xdr:colOff>323850</xdr:colOff>
      <xdr:row>9</xdr:row>
      <xdr:rowOff>123825</xdr:rowOff>
    </xdr:to>
    <xdr:sp>
      <xdr:nvSpPr>
        <xdr:cNvPr id="119" name="Line 208"/>
        <xdr:cNvSpPr>
          <a:spLocks/>
        </xdr:cNvSpPr>
      </xdr:nvSpPr>
      <xdr:spPr>
        <a:xfrm flipH="1">
          <a:off x="3038475" y="149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95250</xdr:rowOff>
    </xdr:from>
    <xdr:to>
      <xdr:col>7</xdr:col>
      <xdr:colOff>171450</xdr:colOff>
      <xdr:row>9</xdr:row>
      <xdr:rowOff>123825</xdr:rowOff>
    </xdr:to>
    <xdr:sp>
      <xdr:nvSpPr>
        <xdr:cNvPr id="120" name="Line 209"/>
        <xdr:cNvSpPr>
          <a:spLocks/>
        </xdr:cNvSpPr>
      </xdr:nvSpPr>
      <xdr:spPr>
        <a:xfrm>
          <a:off x="3105150" y="1323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16</xdr:row>
      <xdr:rowOff>104775</xdr:rowOff>
    </xdr:from>
    <xdr:to>
      <xdr:col>8</xdr:col>
      <xdr:colOff>219075</xdr:colOff>
      <xdr:row>17</xdr:row>
      <xdr:rowOff>76200</xdr:rowOff>
    </xdr:to>
    <xdr:sp>
      <xdr:nvSpPr>
        <xdr:cNvPr id="121" name="Line 210"/>
        <xdr:cNvSpPr>
          <a:spLocks/>
        </xdr:cNvSpPr>
      </xdr:nvSpPr>
      <xdr:spPr>
        <a:xfrm>
          <a:off x="3571875" y="2476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104775</xdr:rowOff>
    </xdr:from>
    <xdr:to>
      <xdr:col>11</xdr:col>
      <xdr:colOff>200025</xdr:colOff>
      <xdr:row>17</xdr:row>
      <xdr:rowOff>76200</xdr:rowOff>
    </xdr:to>
    <xdr:sp>
      <xdr:nvSpPr>
        <xdr:cNvPr id="122" name="Line 211"/>
        <xdr:cNvSpPr>
          <a:spLocks/>
        </xdr:cNvSpPr>
      </xdr:nvSpPr>
      <xdr:spPr>
        <a:xfrm>
          <a:off x="4810125" y="2476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17</xdr:row>
      <xdr:rowOff>19050</xdr:rowOff>
    </xdr:from>
    <xdr:to>
      <xdr:col>11</xdr:col>
      <xdr:colOff>200025</xdr:colOff>
      <xdr:row>17</xdr:row>
      <xdr:rowOff>19050</xdr:rowOff>
    </xdr:to>
    <xdr:sp>
      <xdr:nvSpPr>
        <xdr:cNvPr id="123" name="Line 212"/>
        <xdr:cNvSpPr>
          <a:spLocks/>
        </xdr:cNvSpPr>
      </xdr:nvSpPr>
      <xdr:spPr>
        <a:xfrm>
          <a:off x="3571875" y="25336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104775</xdr:rowOff>
    </xdr:from>
    <xdr:to>
      <xdr:col>8</xdr:col>
      <xdr:colOff>171450</xdr:colOff>
      <xdr:row>18</xdr:row>
      <xdr:rowOff>104775</xdr:rowOff>
    </xdr:to>
    <xdr:sp>
      <xdr:nvSpPr>
        <xdr:cNvPr id="124" name="Line 213"/>
        <xdr:cNvSpPr>
          <a:spLocks/>
        </xdr:cNvSpPr>
      </xdr:nvSpPr>
      <xdr:spPr>
        <a:xfrm flipH="1">
          <a:off x="3371850" y="2762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95250</xdr:rowOff>
    </xdr:from>
    <xdr:to>
      <xdr:col>8</xdr:col>
      <xdr:colOff>171450</xdr:colOff>
      <xdr:row>23</xdr:row>
      <xdr:rowOff>95250</xdr:rowOff>
    </xdr:to>
    <xdr:sp>
      <xdr:nvSpPr>
        <xdr:cNvPr id="125" name="Line 214"/>
        <xdr:cNvSpPr>
          <a:spLocks/>
        </xdr:cNvSpPr>
      </xdr:nvSpPr>
      <xdr:spPr>
        <a:xfrm flipH="1">
          <a:off x="3371850" y="3467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104775</xdr:rowOff>
    </xdr:from>
    <xdr:to>
      <xdr:col>8</xdr:col>
      <xdr:colOff>95250</xdr:colOff>
      <xdr:row>23</xdr:row>
      <xdr:rowOff>95250</xdr:rowOff>
    </xdr:to>
    <xdr:sp>
      <xdr:nvSpPr>
        <xdr:cNvPr id="126" name="Line 215"/>
        <xdr:cNvSpPr>
          <a:spLocks/>
        </xdr:cNvSpPr>
      </xdr:nvSpPr>
      <xdr:spPr>
        <a:xfrm>
          <a:off x="3448050" y="27622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20</xdr:row>
      <xdr:rowOff>66675</xdr:rowOff>
    </xdr:from>
    <xdr:ext cx="104775" cy="180975"/>
    <xdr:sp>
      <xdr:nvSpPr>
        <xdr:cNvPr id="127" name="Text Box 220"/>
        <xdr:cNvSpPr txBox="1">
          <a:spLocks noChangeArrowheads="1"/>
        </xdr:cNvSpPr>
      </xdr:nvSpPr>
      <xdr:spPr>
        <a:xfrm>
          <a:off x="3381375" y="3009900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9</xdr:col>
      <xdr:colOff>352425</xdr:colOff>
      <xdr:row>16</xdr:row>
      <xdr:rowOff>76200</xdr:rowOff>
    </xdr:from>
    <xdr:ext cx="85725" cy="180975"/>
    <xdr:sp>
      <xdr:nvSpPr>
        <xdr:cNvPr id="128" name="Text Box 221"/>
        <xdr:cNvSpPr txBox="1">
          <a:spLocks noChangeArrowheads="1"/>
        </xdr:cNvSpPr>
      </xdr:nvSpPr>
      <xdr:spPr>
        <a:xfrm>
          <a:off x="4124325" y="2447925"/>
          <a:ext cx="85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7</xdr:col>
      <xdr:colOff>95250</xdr:colOff>
      <xdr:row>12</xdr:row>
      <xdr:rowOff>114300</xdr:rowOff>
    </xdr:from>
    <xdr:ext cx="104775" cy="180975"/>
    <xdr:sp>
      <xdr:nvSpPr>
        <xdr:cNvPr id="129" name="Text Box 222"/>
        <xdr:cNvSpPr txBox="1">
          <a:spLocks noChangeArrowheads="1"/>
        </xdr:cNvSpPr>
      </xdr:nvSpPr>
      <xdr:spPr>
        <a:xfrm>
          <a:off x="3028950" y="1914525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6</xdr:col>
      <xdr:colOff>352425</xdr:colOff>
      <xdr:row>9</xdr:row>
      <xdr:rowOff>76200</xdr:rowOff>
    </xdr:from>
    <xdr:ext cx="85725" cy="180975"/>
    <xdr:sp>
      <xdr:nvSpPr>
        <xdr:cNvPr id="130" name="Text Box 223"/>
        <xdr:cNvSpPr txBox="1">
          <a:spLocks noChangeArrowheads="1"/>
        </xdr:cNvSpPr>
      </xdr:nvSpPr>
      <xdr:spPr>
        <a:xfrm>
          <a:off x="2867025" y="1447800"/>
          <a:ext cx="85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oneCellAnchor>
    <xdr:from>
      <xdr:col>9</xdr:col>
      <xdr:colOff>76200</xdr:colOff>
      <xdr:row>20</xdr:row>
      <xdr:rowOff>76200</xdr:rowOff>
    </xdr:from>
    <xdr:ext cx="85725" cy="180975"/>
    <xdr:sp>
      <xdr:nvSpPr>
        <xdr:cNvPr id="131" name="Text Box 224"/>
        <xdr:cNvSpPr txBox="1">
          <a:spLocks noChangeArrowheads="1"/>
        </xdr:cNvSpPr>
      </xdr:nvSpPr>
      <xdr:spPr>
        <a:xfrm>
          <a:off x="3848100" y="3019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9</xdr:col>
      <xdr:colOff>352425</xdr:colOff>
      <xdr:row>22</xdr:row>
      <xdr:rowOff>19050</xdr:rowOff>
    </xdr:from>
    <xdr:ext cx="85725" cy="180975"/>
    <xdr:sp>
      <xdr:nvSpPr>
        <xdr:cNvPr id="132" name="Text Box 225"/>
        <xdr:cNvSpPr txBox="1">
          <a:spLocks noChangeArrowheads="1"/>
        </xdr:cNvSpPr>
      </xdr:nvSpPr>
      <xdr:spPr>
        <a:xfrm>
          <a:off x="4124325" y="32480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9</xdr:col>
      <xdr:colOff>409575</xdr:colOff>
      <xdr:row>21</xdr:row>
      <xdr:rowOff>38100</xdr:rowOff>
    </xdr:from>
    <xdr:to>
      <xdr:col>11</xdr:col>
      <xdr:colOff>19050</xdr:colOff>
      <xdr:row>21</xdr:row>
      <xdr:rowOff>38100</xdr:rowOff>
    </xdr:to>
    <xdr:sp>
      <xdr:nvSpPr>
        <xdr:cNvPr id="133" name="Line 226"/>
        <xdr:cNvSpPr>
          <a:spLocks/>
        </xdr:cNvSpPr>
      </xdr:nvSpPr>
      <xdr:spPr>
        <a:xfrm>
          <a:off x="4181475" y="3124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21</xdr:row>
      <xdr:rowOff>47625</xdr:rowOff>
    </xdr:to>
    <xdr:sp>
      <xdr:nvSpPr>
        <xdr:cNvPr id="134" name="Line 227"/>
        <xdr:cNvSpPr>
          <a:spLocks/>
        </xdr:cNvSpPr>
      </xdr:nvSpPr>
      <xdr:spPr>
        <a:xfrm flipV="1">
          <a:off x="4191000" y="2647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333375</xdr:colOff>
      <xdr:row>20</xdr:row>
      <xdr:rowOff>0</xdr:rowOff>
    </xdr:from>
    <xdr:ext cx="85725" cy="180975"/>
    <xdr:sp>
      <xdr:nvSpPr>
        <xdr:cNvPr id="135" name="Text Box 228"/>
        <xdr:cNvSpPr txBox="1">
          <a:spLocks noChangeArrowheads="1"/>
        </xdr:cNvSpPr>
      </xdr:nvSpPr>
      <xdr:spPr>
        <a:xfrm>
          <a:off x="4524375" y="29432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10</xdr:col>
      <xdr:colOff>19050</xdr:colOff>
      <xdr:row>17</xdr:row>
      <xdr:rowOff>76200</xdr:rowOff>
    </xdr:from>
    <xdr:ext cx="85725" cy="180975"/>
    <xdr:sp>
      <xdr:nvSpPr>
        <xdr:cNvPr id="136" name="Text Box 229"/>
        <xdr:cNvSpPr txBox="1">
          <a:spLocks noChangeArrowheads="1"/>
        </xdr:cNvSpPr>
      </xdr:nvSpPr>
      <xdr:spPr>
        <a:xfrm>
          <a:off x="4210050" y="259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oneCellAnchor>
  <xdr:oneCellAnchor>
    <xdr:from>
      <xdr:col>10</xdr:col>
      <xdr:colOff>257175</xdr:colOff>
      <xdr:row>8</xdr:row>
      <xdr:rowOff>123825</xdr:rowOff>
    </xdr:from>
    <xdr:ext cx="190500" cy="180975"/>
    <xdr:sp>
      <xdr:nvSpPr>
        <xdr:cNvPr id="137" name="Text Box 230"/>
        <xdr:cNvSpPr txBox="1">
          <a:spLocks noChangeArrowheads="1"/>
        </xdr:cNvSpPr>
      </xdr:nvSpPr>
      <xdr:spPr>
        <a:xfrm>
          <a:off x="4448175" y="13525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Mz</a:t>
          </a:r>
        </a:p>
      </xdr:txBody>
    </xdr:sp>
    <xdr:clientData/>
  </xdr:oneCellAnchor>
  <xdr:oneCellAnchor>
    <xdr:from>
      <xdr:col>10</xdr:col>
      <xdr:colOff>0</xdr:colOff>
      <xdr:row>7</xdr:row>
      <xdr:rowOff>123825</xdr:rowOff>
    </xdr:from>
    <xdr:ext cx="161925" cy="180975"/>
    <xdr:sp>
      <xdr:nvSpPr>
        <xdr:cNvPr id="138" name="Text Box 231"/>
        <xdr:cNvSpPr txBox="1">
          <a:spLocks noChangeArrowheads="1"/>
        </xdr:cNvSpPr>
      </xdr:nvSpPr>
      <xdr:spPr>
        <a:xfrm>
          <a:off x="4191000" y="12096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</a:t>
          </a:r>
        </a:p>
      </xdr:txBody>
    </xdr:sp>
    <xdr:clientData/>
  </xdr:oneCellAnchor>
  <xdr:oneCellAnchor>
    <xdr:from>
      <xdr:col>8</xdr:col>
      <xdr:colOff>400050</xdr:colOff>
      <xdr:row>8</xdr:row>
      <xdr:rowOff>114300</xdr:rowOff>
    </xdr:from>
    <xdr:ext cx="161925" cy="180975"/>
    <xdr:sp>
      <xdr:nvSpPr>
        <xdr:cNvPr id="139" name="Text Box 232"/>
        <xdr:cNvSpPr txBox="1">
          <a:spLocks noChangeArrowheads="1"/>
        </xdr:cNvSpPr>
      </xdr:nvSpPr>
      <xdr:spPr>
        <a:xfrm>
          <a:off x="3752850" y="13430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Fx</a:t>
          </a:r>
        </a:p>
      </xdr:txBody>
    </xdr:sp>
    <xdr:clientData/>
  </xdr:oneCellAnchor>
  <xdr:twoCellAnchor>
    <xdr:from>
      <xdr:col>7</xdr:col>
      <xdr:colOff>342900</xdr:colOff>
      <xdr:row>12</xdr:row>
      <xdr:rowOff>9525</xdr:rowOff>
    </xdr:from>
    <xdr:to>
      <xdr:col>8</xdr:col>
      <xdr:colOff>161925</xdr:colOff>
      <xdr:row>12</xdr:row>
      <xdr:rowOff>9525</xdr:rowOff>
    </xdr:to>
    <xdr:sp>
      <xdr:nvSpPr>
        <xdr:cNvPr id="140" name="Line 233"/>
        <xdr:cNvSpPr>
          <a:spLocks/>
        </xdr:cNvSpPr>
      </xdr:nvSpPr>
      <xdr:spPr>
        <a:xfrm>
          <a:off x="3276600" y="1809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9525</xdr:rowOff>
    </xdr:from>
    <xdr:to>
      <xdr:col>8</xdr:col>
      <xdr:colOff>0</xdr:colOff>
      <xdr:row>16</xdr:row>
      <xdr:rowOff>66675</xdr:rowOff>
    </xdr:to>
    <xdr:sp>
      <xdr:nvSpPr>
        <xdr:cNvPr id="141" name="Line 234"/>
        <xdr:cNvSpPr>
          <a:spLocks/>
        </xdr:cNvSpPr>
      </xdr:nvSpPr>
      <xdr:spPr>
        <a:xfrm>
          <a:off x="3352800" y="18097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314325</xdr:colOff>
      <xdr:row>13</xdr:row>
      <xdr:rowOff>76200</xdr:rowOff>
    </xdr:from>
    <xdr:ext cx="171450" cy="180975"/>
    <xdr:sp>
      <xdr:nvSpPr>
        <xdr:cNvPr id="142" name="Text Box 235"/>
        <xdr:cNvSpPr txBox="1">
          <a:spLocks noChangeArrowheads="1"/>
        </xdr:cNvSpPr>
      </xdr:nvSpPr>
      <xdr:spPr>
        <a:xfrm>
          <a:off x="3248025" y="2019300"/>
          <a:ext cx="171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hw</a:t>
          </a:r>
        </a:p>
      </xdr:txBody>
    </xdr:sp>
    <xdr:clientData/>
  </xdr:oneCellAnchor>
  <xdr:twoCellAnchor>
    <xdr:from>
      <xdr:col>8</xdr:col>
      <xdr:colOff>38100</xdr:colOff>
      <xdr:row>11</xdr:row>
      <xdr:rowOff>66675</xdr:rowOff>
    </xdr:from>
    <xdr:to>
      <xdr:col>8</xdr:col>
      <xdr:colOff>123825</xdr:colOff>
      <xdr:row>12</xdr:row>
      <xdr:rowOff>0</xdr:rowOff>
    </xdr:to>
    <xdr:sp>
      <xdr:nvSpPr>
        <xdr:cNvPr id="143" name="AutoShape 236"/>
        <xdr:cNvSpPr>
          <a:spLocks/>
        </xdr:cNvSpPr>
      </xdr:nvSpPr>
      <xdr:spPr>
        <a:xfrm rot="10800000">
          <a:off x="3390900" y="1724025"/>
          <a:ext cx="8572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123825</xdr:colOff>
      <xdr:row>11</xdr:row>
      <xdr:rowOff>19050</xdr:rowOff>
    </xdr:from>
    <xdr:ext cx="247650" cy="161925"/>
    <xdr:sp>
      <xdr:nvSpPr>
        <xdr:cNvPr id="144" name="Text Box 237"/>
        <xdr:cNvSpPr txBox="1">
          <a:spLocks noChangeArrowheads="1"/>
        </xdr:cNvSpPr>
      </xdr:nvSpPr>
      <xdr:spPr>
        <a:xfrm>
          <a:off x="3476625" y="16764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GWT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78</xdr:row>
      <xdr:rowOff>0</xdr:rowOff>
    </xdr:from>
    <xdr:to>
      <xdr:col>12</xdr:col>
      <xdr:colOff>304800</xdr:colOff>
      <xdr:row>109</xdr:row>
      <xdr:rowOff>47625</xdr:rowOff>
    </xdr:to>
    <xdr:grpSp>
      <xdr:nvGrpSpPr>
        <xdr:cNvPr id="1" name="Group 56"/>
        <xdr:cNvGrpSpPr>
          <a:grpSpLocks/>
        </xdr:cNvGrpSpPr>
      </xdr:nvGrpSpPr>
      <xdr:grpSpPr>
        <a:xfrm>
          <a:off x="200025" y="11887200"/>
          <a:ext cx="5133975" cy="5048250"/>
          <a:chOff x="21" y="2217"/>
          <a:chExt cx="539" cy="530"/>
        </a:xfrm>
        <a:solidFill>
          <a:srgbClr val="FFFFFF"/>
        </a:solidFill>
      </xdr:grpSpPr>
      <xdr:sp>
        <xdr:nvSpPr>
          <xdr:cNvPr id="2" name="Rectangle 57"/>
          <xdr:cNvSpPr>
            <a:spLocks/>
          </xdr:cNvSpPr>
        </xdr:nvSpPr>
        <xdr:spPr>
          <a:xfrm>
            <a:off x="148" y="2437"/>
            <a:ext cx="271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8"/>
          <xdr:cNvSpPr>
            <a:spLocks/>
          </xdr:cNvSpPr>
        </xdr:nvSpPr>
        <xdr:spPr>
          <a:xfrm>
            <a:off x="255" y="2283"/>
            <a:ext cx="60" cy="1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9"/>
          <xdr:cNvSpPr>
            <a:spLocks/>
          </xdr:cNvSpPr>
        </xdr:nvSpPr>
        <xdr:spPr>
          <a:xfrm>
            <a:off x="148" y="2577"/>
            <a:ext cx="271" cy="1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0"/>
          <xdr:cNvSpPr>
            <a:spLocks/>
          </xdr:cNvSpPr>
        </xdr:nvSpPr>
        <xdr:spPr>
          <a:xfrm>
            <a:off x="159" y="2487"/>
            <a:ext cx="24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1"/>
          <xdr:cNvSpPr>
            <a:spLocks/>
          </xdr:cNvSpPr>
        </xdr:nvSpPr>
        <xdr:spPr>
          <a:xfrm>
            <a:off x="165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2"/>
          <xdr:cNvSpPr>
            <a:spLocks/>
          </xdr:cNvSpPr>
        </xdr:nvSpPr>
        <xdr:spPr>
          <a:xfrm>
            <a:off x="206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63"/>
          <xdr:cNvSpPr>
            <a:spLocks/>
          </xdr:cNvSpPr>
        </xdr:nvSpPr>
        <xdr:spPr>
          <a:xfrm>
            <a:off x="394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64"/>
          <xdr:cNvSpPr>
            <a:spLocks/>
          </xdr:cNvSpPr>
        </xdr:nvSpPr>
        <xdr:spPr>
          <a:xfrm>
            <a:off x="355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65"/>
          <xdr:cNvSpPr>
            <a:spLocks/>
          </xdr:cNvSpPr>
        </xdr:nvSpPr>
        <xdr:spPr>
          <a:xfrm>
            <a:off x="313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66"/>
          <xdr:cNvSpPr>
            <a:spLocks/>
          </xdr:cNvSpPr>
        </xdr:nvSpPr>
        <xdr:spPr>
          <a:xfrm>
            <a:off x="254" y="247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7"/>
          <xdr:cNvSpPr>
            <a:spLocks/>
          </xdr:cNvSpPr>
        </xdr:nvSpPr>
        <xdr:spPr>
          <a:xfrm>
            <a:off x="424" y="24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8"/>
          <xdr:cNvSpPr>
            <a:spLocks/>
          </xdr:cNvSpPr>
        </xdr:nvSpPr>
        <xdr:spPr>
          <a:xfrm>
            <a:off x="424" y="243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9"/>
          <xdr:cNvSpPr>
            <a:spLocks/>
          </xdr:cNvSpPr>
        </xdr:nvSpPr>
        <xdr:spPr>
          <a:xfrm>
            <a:off x="433" y="2437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0"/>
          <xdr:cNvSpPr>
            <a:spLocks/>
          </xdr:cNvSpPr>
        </xdr:nvSpPr>
        <xdr:spPr>
          <a:xfrm>
            <a:off x="148" y="250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71"/>
          <xdr:cNvSpPr>
            <a:spLocks/>
          </xdr:cNvSpPr>
        </xdr:nvSpPr>
        <xdr:spPr>
          <a:xfrm>
            <a:off x="420" y="250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72"/>
          <xdr:cNvSpPr>
            <a:spLocks/>
          </xdr:cNvSpPr>
        </xdr:nvSpPr>
        <xdr:spPr>
          <a:xfrm>
            <a:off x="122" y="249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3"/>
          <xdr:cNvSpPr>
            <a:spLocks/>
          </xdr:cNvSpPr>
        </xdr:nvSpPr>
        <xdr:spPr>
          <a:xfrm>
            <a:off x="123" y="243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4"/>
          <xdr:cNvSpPr>
            <a:spLocks/>
          </xdr:cNvSpPr>
        </xdr:nvSpPr>
        <xdr:spPr>
          <a:xfrm flipH="1">
            <a:off x="132" y="2437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5"/>
          <xdr:cNvSpPr>
            <a:spLocks/>
          </xdr:cNvSpPr>
        </xdr:nvSpPr>
        <xdr:spPr>
          <a:xfrm flipV="1">
            <a:off x="160" y="2447"/>
            <a:ext cx="24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6"/>
          <xdr:cNvSpPr>
            <a:spLocks/>
          </xdr:cNvSpPr>
        </xdr:nvSpPr>
        <xdr:spPr>
          <a:xfrm flipV="1">
            <a:off x="16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77"/>
          <xdr:cNvSpPr>
            <a:spLocks/>
          </xdr:cNvSpPr>
        </xdr:nvSpPr>
        <xdr:spPr>
          <a:xfrm flipV="1">
            <a:off x="206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78"/>
          <xdr:cNvSpPr>
            <a:spLocks/>
          </xdr:cNvSpPr>
        </xdr:nvSpPr>
        <xdr:spPr>
          <a:xfrm flipV="1">
            <a:off x="39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79"/>
          <xdr:cNvSpPr>
            <a:spLocks/>
          </xdr:cNvSpPr>
        </xdr:nvSpPr>
        <xdr:spPr>
          <a:xfrm flipV="1">
            <a:off x="355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80"/>
          <xdr:cNvSpPr>
            <a:spLocks/>
          </xdr:cNvSpPr>
        </xdr:nvSpPr>
        <xdr:spPr>
          <a:xfrm flipV="1">
            <a:off x="313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81"/>
          <xdr:cNvSpPr>
            <a:spLocks/>
          </xdr:cNvSpPr>
        </xdr:nvSpPr>
        <xdr:spPr>
          <a:xfrm flipV="1">
            <a:off x="254" y="2449"/>
            <a:ext cx="6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82"/>
          <xdr:cNvSpPr>
            <a:spLocks/>
          </xdr:cNvSpPr>
        </xdr:nvSpPr>
        <xdr:spPr>
          <a:xfrm>
            <a:off x="255" y="2634"/>
            <a:ext cx="60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3"/>
          <xdr:cNvSpPr>
            <a:spLocks/>
          </xdr:cNvSpPr>
        </xdr:nvSpPr>
        <xdr:spPr>
          <a:xfrm>
            <a:off x="471" y="2694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4"/>
          <xdr:cNvSpPr>
            <a:spLocks/>
          </xdr:cNvSpPr>
        </xdr:nvSpPr>
        <xdr:spPr>
          <a:xfrm flipV="1">
            <a:off x="472" y="2627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85"/>
          <xdr:cNvSpPr>
            <a:spLocks/>
          </xdr:cNvSpPr>
        </xdr:nvSpPr>
        <xdr:spPr>
          <a:xfrm flipH="1">
            <a:off x="122" y="257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6"/>
          <xdr:cNvSpPr>
            <a:spLocks/>
          </xdr:cNvSpPr>
        </xdr:nvSpPr>
        <xdr:spPr>
          <a:xfrm flipH="1">
            <a:off x="121" y="274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7"/>
          <xdr:cNvSpPr>
            <a:spLocks/>
          </xdr:cNvSpPr>
        </xdr:nvSpPr>
        <xdr:spPr>
          <a:xfrm>
            <a:off x="132" y="2577"/>
            <a:ext cx="0" cy="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8"/>
          <xdr:cNvSpPr>
            <a:spLocks/>
          </xdr:cNvSpPr>
        </xdr:nvSpPr>
        <xdr:spPr>
          <a:xfrm flipH="1">
            <a:off x="36" y="23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9"/>
          <xdr:cNvSpPr>
            <a:spLocks/>
          </xdr:cNvSpPr>
        </xdr:nvSpPr>
        <xdr:spPr>
          <a:xfrm flipH="1">
            <a:off x="315" y="23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0"/>
          <xdr:cNvSpPr>
            <a:spLocks/>
          </xdr:cNvSpPr>
        </xdr:nvSpPr>
        <xdr:spPr>
          <a:xfrm flipH="1">
            <a:off x="255" y="2692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91"/>
          <xdr:cNvSpPr>
            <a:spLocks/>
          </xdr:cNvSpPr>
        </xdr:nvSpPr>
        <xdr:spPr>
          <a:xfrm flipH="1">
            <a:off x="315" y="269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92"/>
          <xdr:cNvSpPr>
            <a:spLocks/>
          </xdr:cNvSpPr>
        </xdr:nvSpPr>
        <xdr:spPr>
          <a:xfrm flipH="1">
            <a:off x="239" y="2634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93"/>
          <xdr:cNvSpPr>
            <a:spLocks/>
          </xdr:cNvSpPr>
        </xdr:nvSpPr>
        <xdr:spPr>
          <a:xfrm flipH="1">
            <a:off x="238" y="268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4"/>
          <xdr:cNvSpPr>
            <a:spLocks/>
          </xdr:cNvSpPr>
        </xdr:nvSpPr>
        <xdr:spPr>
          <a:xfrm>
            <a:off x="255" y="2698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5"/>
          <xdr:cNvSpPr>
            <a:spLocks/>
          </xdr:cNvSpPr>
        </xdr:nvSpPr>
        <xdr:spPr>
          <a:xfrm>
            <a:off x="244" y="2634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96"/>
          <xdr:cNvSpPr>
            <a:spLocks/>
          </xdr:cNvSpPr>
        </xdr:nvSpPr>
        <xdr:spPr>
          <a:xfrm>
            <a:off x="372" y="2489"/>
            <a:ext cx="29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97"/>
          <xdr:cNvSpPr>
            <a:spLocks/>
          </xdr:cNvSpPr>
        </xdr:nvSpPr>
        <xdr:spPr>
          <a:xfrm flipH="1">
            <a:off x="146" y="2483"/>
            <a:ext cx="63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98"/>
          <xdr:cNvSpPr>
            <a:spLocks/>
          </xdr:cNvSpPr>
        </xdr:nvSpPr>
        <xdr:spPr>
          <a:xfrm>
            <a:off x="339" y="2514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99"/>
          <xdr:cNvSpPr>
            <a:spLocks/>
          </xdr:cNvSpPr>
        </xdr:nvSpPr>
        <xdr:spPr>
          <a:xfrm>
            <a:off x="150" y="2514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0"/>
          <xdr:cNvSpPr>
            <a:spLocks/>
          </xdr:cNvSpPr>
        </xdr:nvSpPr>
        <xdr:spPr>
          <a:xfrm flipH="1">
            <a:off x="358" y="2385"/>
            <a:ext cx="47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01"/>
          <xdr:cNvSpPr>
            <a:spLocks/>
          </xdr:cNvSpPr>
        </xdr:nvSpPr>
        <xdr:spPr>
          <a:xfrm flipH="1">
            <a:off x="54" y="228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2"/>
          <xdr:cNvSpPr>
            <a:spLocks/>
          </xdr:cNvSpPr>
        </xdr:nvSpPr>
        <xdr:spPr>
          <a:xfrm flipH="1" flipV="1">
            <a:off x="66" y="230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03"/>
          <xdr:cNvSpPr>
            <a:spLocks/>
          </xdr:cNvSpPr>
        </xdr:nvSpPr>
        <xdr:spPr>
          <a:xfrm flipH="1" flipV="1">
            <a:off x="66" y="226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04"/>
          <xdr:cNvSpPr>
            <a:spLocks/>
          </xdr:cNvSpPr>
        </xdr:nvSpPr>
        <xdr:spPr>
          <a:xfrm flipH="1">
            <a:off x="21" y="24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5"/>
          <xdr:cNvSpPr>
            <a:spLocks/>
          </xdr:cNvSpPr>
        </xdr:nvSpPr>
        <xdr:spPr>
          <a:xfrm flipV="1">
            <a:off x="66" y="2306"/>
            <a:ext cx="0" cy="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06"/>
          <xdr:cNvSpPr>
            <a:spLocks/>
          </xdr:cNvSpPr>
        </xdr:nvSpPr>
        <xdr:spPr>
          <a:xfrm>
            <a:off x="67" y="2405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07"/>
          <xdr:cNvSpPr>
            <a:spLocks/>
          </xdr:cNvSpPr>
        </xdr:nvSpPr>
        <xdr:spPr>
          <a:xfrm>
            <a:off x="140" y="2408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08"/>
          <xdr:cNvSpPr>
            <a:spLocks/>
          </xdr:cNvSpPr>
        </xdr:nvSpPr>
        <xdr:spPr>
          <a:xfrm flipH="1">
            <a:off x="113" y="2355"/>
            <a:ext cx="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09"/>
          <xdr:cNvSpPr>
            <a:spLocks/>
          </xdr:cNvSpPr>
        </xdr:nvSpPr>
        <xdr:spPr>
          <a:xfrm flipV="1">
            <a:off x="167" y="2344"/>
            <a:ext cx="11" cy="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10"/>
          <xdr:cNvSpPr>
            <a:spLocks/>
          </xdr:cNvSpPr>
        </xdr:nvSpPr>
        <xdr:spPr>
          <a:xfrm flipV="1">
            <a:off x="140" y="2355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1"/>
          <xdr:cNvSpPr>
            <a:spLocks/>
          </xdr:cNvSpPr>
        </xdr:nvSpPr>
        <xdr:spPr>
          <a:xfrm>
            <a:off x="165" y="2358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12"/>
          <xdr:cNvSpPr>
            <a:spLocks/>
          </xdr:cNvSpPr>
        </xdr:nvSpPr>
        <xdr:spPr>
          <a:xfrm>
            <a:off x="168" y="2361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13"/>
          <xdr:cNvSpPr>
            <a:spLocks/>
          </xdr:cNvSpPr>
        </xdr:nvSpPr>
        <xdr:spPr>
          <a:xfrm>
            <a:off x="304" y="2293"/>
            <a:ext cx="0" cy="17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14"/>
          <xdr:cNvSpPr>
            <a:spLocks/>
          </xdr:cNvSpPr>
        </xdr:nvSpPr>
        <xdr:spPr>
          <a:xfrm>
            <a:off x="265" y="2293"/>
            <a:ext cx="0" cy="18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15"/>
          <xdr:cNvSpPr txBox="1">
            <a:spLocks noChangeArrowheads="1"/>
          </xdr:cNvSpPr>
        </xdr:nvSpPr>
        <xdr:spPr>
          <a:xfrm>
            <a:off x="433" y="245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=</a:t>
            </a:r>
          </a:p>
        </xdr:txBody>
      </xdr:sp>
      <xdr:sp>
        <xdr:nvSpPr>
          <xdr:cNvPr id="61" name="Text Box 116"/>
          <xdr:cNvSpPr txBox="1">
            <a:spLocks noChangeArrowheads="1"/>
          </xdr:cNvSpPr>
        </xdr:nvSpPr>
        <xdr:spPr>
          <a:xfrm>
            <a:off x="338" y="2368"/>
            <a:ext cx="6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(cm2) =</a:t>
            </a:r>
          </a:p>
        </xdr:txBody>
      </xdr:sp>
      <xdr:sp>
        <xdr:nvSpPr>
          <xdr:cNvPr id="62" name="Text Box 117"/>
          <xdr:cNvSpPr txBox="1">
            <a:spLocks noChangeArrowheads="1"/>
          </xdr:cNvSpPr>
        </xdr:nvSpPr>
        <xdr:spPr>
          <a:xfrm>
            <a:off x="100" y="2385"/>
            <a:ext cx="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hw =</a:t>
            </a:r>
          </a:p>
        </xdr:txBody>
      </xdr:sp>
      <xdr:sp>
        <xdr:nvSpPr>
          <xdr:cNvPr id="65" name="Text Box 120"/>
          <xdr:cNvSpPr txBox="1">
            <a:spLocks noChangeArrowheads="1"/>
          </xdr:cNvSpPr>
        </xdr:nvSpPr>
        <xdr:spPr>
          <a:xfrm>
            <a:off x="193" y="2657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</a:t>
            </a:r>
          </a:p>
        </xdr:txBody>
      </xdr:sp>
      <xdr:sp>
        <xdr:nvSpPr>
          <xdr:cNvPr id="66" name="Text Box 121"/>
          <xdr:cNvSpPr txBox="1">
            <a:spLocks noChangeArrowheads="1"/>
          </xdr:cNvSpPr>
        </xdr:nvSpPr>
        <xdr:spPr>
          <a:xfrm>
            <a:off x="246" y="2708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=</a:t>
            </a:r>
          </a:p>
        </xdr:txBody>
      </xdr:sp>
      <xdr:sp>
        <xdr:nvSpPr>
          <xdr:cNvPr id="67" name="Text Box 122"/>
          <xdr:cNvSpPr txBox="1">
            <a:spLocks noChangeArrowheads="1"/>
          </xdr:cNvSpPr>
        </xdr:nvSpPr>
        <xdr:spPr>
          <a:xfrm>
            <a:off x="72" y="2452"/>
            <a:ext cx="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=</a:t>
            </a:r>
          </a:p>
        </xdr:txBody>
      </xdr:sp>
      <xdr:sp>
        <xdr:nvSpPr>
          <xdr:cNvPr id="68" name="Line 123"/>
          <xdr:cNvSpPr>
            <a:spLocks/>
          </xdr:cNvSpPr>
        </xdr:nvSpPr>
        <xdr:spPr>
          <a:xfrm>
            <a:off x="284" y="223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124"/>
          <xdr:cNvSpPr txBox="1">
            <a:spLocks noChangeArrowheads="1"/>
          </xdr:cNvSpPr>
        </xdr:nvSpPr>
        <xdr:spPr>
          <a:xfrm>
            <a:off x="21" y="2282"/>
            <a:ext cx="3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hw =</a:t>
            </a:r>
          </a:p>
        </xdr:txBody>
      </xdr:sp>
      <xdr:sp>
        <xdr:nvSpPr>
          <xdr:cNvPr id="70" name="Line 125"/>
          <xdr:cNvSpPr>
            <a:spLocks/>
          </xdr:cNvSpPr>
        </xdr:nvSpPr>
        <xdr:spPr>
          <a:xfrm>
            <a:off x="224" y="228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127"/>
          <xdr:cNvSpPr txBox="1">
            <a:spLocks noChangeArrowheads="1"/>
          </xdr:cNvSpPr>
        </xdr:nvSpPr>
        <xdr:spPr>
          <a:xfrm>
            <a:off x="240" y="2217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Fy =</a:t>
            </a:r>
          </a:p>
        </xdr:txBody>
      </xdr:sp>
      <xdr:sp>
        <xdr:nvSpPr>
          <xdr:cNvPr id="73" name="Text Box 128"/>
          <xdr:cNvSpPr txBox="1">
            <a:spLocks noChangeArrowheads="1"/>
          </xdr:cNvSpPr>
        </xdr:nvSpPr>
        <xdr:spPr>
          <a:xfrm>
            <a:off x="160" y="2266"/>
            <a:ext cx="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Fx =</a:t>
            </a:r>
          </a:p>
        </xdr:txBody>
      </xdr:sp>
      <xdr:sp>
        <xdr:nvSpPr>
          <xdr:cNvPr id="74" name="Text Box 129"/>
          <xdr:cNvSpPr txBox="1">
            <a:spLocks noChangeArrowheads="1"/>
          </xdr:cNvSpPr>
        </xdr:nvSpPr>
        <xdr:spPr>
          <a:xfrm>
            <a:off x="318" y="2265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Mz =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63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6.28125" style="2" customWidth="1"/>
    <col min="2" max="12" width="6.28125" style="1" customWidth="1"/>
    <col min="13" max="13" width="6.28125" style="8" customWidth="1"/>
    <col min="14" max="14" width="6.28125" style="3" customWidth="1"/>
    <col min="15" max="16" width="6.28125" style="1" customWidth="1"/>
    <col min="17" max="17" width="5.8515625" style="1" customWidth="1"/>
    <col min="18" max="18" width="9.140625" style="1" customWidth="1"/>
    <col min="19" max="19" width="12.421875" style="1" bestFit="1" customWidth="1"/>
    <col min="20" max="20" width="9.140625" style="1" customWidth="1"/>
    <col min="21" max="21" width="12.421875" style="1" bestFit="1" customWidth="1"/>
    <col min="22" max="16384" width="9.140625" style="1" customWidth="1"/>
  </cols>
  <sheetData>
    <row r="1" spans="1:14" ht="12.75" customHeight="1">
      <c r="A1" s="207" t="s">
        <v>160</v>
      </c>
      <c r="B1" s="208"/>
      <c r="C1" s="208"/>
      <c r="D1" s="208"/>
      <c r="E1" s="208"/>
      <c r="F1" s="208"/>
      <c r="G1" s="208"/>
      <c r="H1" s="209"/>
      <c r="I1" s="194" t="s">
        <v>3</v>
      </c>
      <c r="J1" s="195"/>
      <c r="K1" s="196" t="s">
        <v>11</v>
      </c>
      <c r="L1" s="197"/>
      <c r="M1" s="198"/>
      <c r="N1" s="125" t="s">
        <v>2</v>
      </c>
    </row>
    <row r="2" spans="1:14" ht="13.5" customHeight="1" thickBot="1">
      <c r="A2" s="210"/>
      <c r="B2" s="211"/>
      <c r="C2" s="211"/>
      <c r="D2" s="211"/>
      <c r="E2" s="211"/>
      <c r="F2" s="211"/>
      <c r="G2" s="211"/>
      <c r="H2" s="212"/>
      <c r="I2" s="199" t="s">
        <v>1</v>
      </c>
      <c r="J2" s="187"/>
      <c r="K2" s="167"/>
      <c r="L2" s="168"/>
      <c r="M2" s="169"/>
      <c r="N2" s="205" t="s">
        <v>158</v>
      </c>
    </row>
    <row r="3" spans="1:14" ht="12" thickBot="1">
      <c r="A3" s="178" t="s">
        <v>0</v>
      </c>
      <c r="B3" s="179"/>
      <c r="C3" s="182" t="s">
        <v>168</v>
      </c>
      <c r="D3" s="182"/>
      <c r="E3" s="182"/>
      <c r="F3" s="182"/>
      <c r="G3" s="182"/>
      <c r="H3" s="183"/>
      <c r="I3" s="186" t="s">
        <v>4</v>
      </c>
      <c r="J3" s="187"/>
      <c r="K3" s="167" t="s">
        <v>13</v>
      </c>
      <c r="L3" s="168"/>
      <c r="M3" s="169"/>
      <c r="N3" s="206"/>
    </row>
    <row r="4" spans="1:14" ht="12" thickBot="1">
      <c r="A4" s="180"/>
      <c r="B4" s="181"/>
      <c r="C4" s="184"/>
      <c r="D4" s="184"/>
      <c r="E4" s="184"/>
      <c r="F4" s="184"/>
      <c r="G4" s="184"/>
      <c r="H4" s="185"/>
      <c r="I4" s="170" t="s">
        <v>5</v>
      </c>
      <c r="J4" s="171"/>
      <c r="K4" s="172" t="s">
        <v>12</v>
      </c>
      <c r="L4" s="173"/>
      <c r="M4" s="174"/>
      <c r="N4" s="126"/>
    </row>
    <row r="5" spans="1:14" ht="11.25">
      <c r="A5" s="23"/>
      <c r="B5" s="24"/>
      <c r="C5" s="25"/>
      <c r="D5" s="25"/>
      <c r="E5" s="25"/>
      <c r="F5" s="25"/>
      <c r="G5" s="25"/>
      <c r="H5" s="25"/>
      <c r="I5" s="26"/>
      <c r="J5" s="26"/>
      <c r="K5" s="27"/>
      <c r="L5" s="27"/>
      <c r="M5" s="27"/>
      <c r="N5" s="92"/>
    </row>
    <row r="6" spans="2:13" ht="12.75">
      <c r="B6" s="175" t="s">
        <v>14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</row>
    <row r="7" spans="2:5" ht="11.25">
      <c r="B7" s="221" t="s">
        <v>9</v>
      </c>
      <c r="C7" s="221"/>
      <c r="D7" s="221"/>
      <c r="E7" s="220" t="s">
        <v>15</v>
      </c>
    </row>
    <row r="8" spans="2:5" ht="11.25">
      <c r="B8" s="4"/>
      <c r="C8" s="5" t="s">
        <v>144</v>
      </c>
      <c r="D8" s="5" t="s">
        <v>145</v>
      </c>
      <c r="E8" s="220"/>
    </row>
    <row r="9" spans="2:5" ht="11.25">
      <c r="B9" s="6" t="s">
        <v>7</v>
      </c>
      <c r="C9" s="60">
        <v>0</v>
      </c>
      <c r="D9" s="60">
        <v>800</v>
      </c>
      <c r="E9" s="60">
        <v>0</v>
      </c>
    </row>
    <row r="10" spans="2:5" ht="11.25">
      <c r="B10" s="6" t="s">
        <v>8</v>
      </c>
      <c r="C10" s="60">
        <v>0</v>
      </c>
      <c r="D10" s="60">
        <v>668</v>
      </c>
      <c r="E10" s="60">
        <v>800</v>
      </c>
    </row>
    <row r="11" spans="2:5" ht="11.25">
      <c r="B11" s="6" t="s">
        <v>6</v>
      </c>
      <c r="C11" s="60">
        <v>100</v>
      </c>
      <c r="D11" s="60">
        <v>0</v>
      </c>
      <c r="E11" s="60">
        <v>0</v>
      </c>
    </row>
    <row r="12" spans="2:12" ht="11.25">
      <c r="B12" s="6" t="s">
        <v>78</v>
      </c>
      <c r="C12" s="60">
        <v>0</v>
      </c>
      <c r="D12" s="60">
        <v>0</v>
      </c>
      <c r="E12" s="60">
        <v>0</v>
      </c>
      <c r="J12" s="98"/>
      <c r="K12" s="98"/>
      <c r="L12" s="98"/>
    </row>
    <row r="13" spans="2:5" ht="11.25">
      <c r="B13" s="7" t="s">
        <v>72</v>
      </c>
      <c r="C13" s="87">
        <f>SUM(C9:C12)</f>
        <v>100</v>
      </c>
      <c r="D13" s="87">
        <f>SUM(D9:D12)</f>
        <v>1468</v>
      </c>
      <c r="E13" s="87">
        <f>SUM(E9:E12)</f>
        <v>800</v>
      </c>
    </row>
    <row r="14" spans="2:6" ht="11.25">
      <c r="B14" s="189" t="s">
        <v>169</v>
      </c>
      <c r="C14" s="189"/>
      <c r="D14" s="189"/>
      <c r="E14" s="189"/>
      <c r="F14" s="28"/>
    </row>
    <row r="15" spans="2:6" ht="11.25">
      <c r="B15" s="32" t="s">
        <v>126</v>
      </c>
      <c r="C15" s="59">
        <v>1300</v>
      </c>
      <c r="D15" s="32" t="s">
        <v>128</v>
      </c>
      <c r="E15" s="59">
        <v>200</v>
      </c>
      <c r="F15" s="28"/>
    </row>
    <row r="16" spans="2:6" ht="11.25">
      <c r="B16" s="85" t="s">
        <v>127</v>
      </c>
      <c r="C16" s="59">
        <v>0</v>
      </c>
      <c r="D16" s="85" t="s">
        <v>10</v>
      </c>
      <c r="E16" s="59">
        <v>1.4</v>
      </c>
      <c r="F16" s="28"/>
    </row>
    <row r="17" spans="2:13" ht="11.25">
      <c r="B17" s="189" t="s">
        <v>32</v>
      </c>
      <c r="C17" s="189"/>
      <c r="D17" s="189"/>
      <c r="E17" s="189"/>
      <c r="F17" s="28"/>
      <c r="M17" s="1"/>
    </row>
    <row r="18" spans="2:11" ht="11.25">
      <c r="B18" s="85" t="s">
        <v>129</v>
      </c>
      <c r="C18" s="59">
        <v>500</v>
      </c>
      <c r="D18" s="85" t="s">
        <v>130</v>
      </c>
      <c r="E18" s="59">
        <v>500</v>
      </c>
      <c r="F18" s="28"/>
      <c r="G18" s="28"/>
      <c r="H18" s="28"/>
      <c r="I18" s="28"/>
      <c r="J18" s="28"/>
      <c r="K18" s="121"/>
    </row>
    <row r="19" spans="2:11" ht="11.25">
      <c r="B19" s="221" t="s">
        <v>75</v>
      </c>
      <c r="C19" s="221"/>
      <c r="D19" s="224"/>
      <c r="E19" s="224"/>
      <c r="H19" s="28"/>
      <c r="I19" s="28"/>
      <c r="J19" s="28"/>
      <c r="K19" s="121"/>
    </row>
    <row r="20" spans="2:11" ht="11.25">
      <c r="B20" s="188" t="s">
        <v>149</v>
      </c>
      <c r="C20" s="188"/>
      <c r="D20" s="190">
        <v>27.6</v>
      </c>
      <c r="E20" s="190"/>
      <c r="F20" s="28"/>
      <c r="G20" s="28"/>
      <c r="H20" s="28"/>
      <c r="I20" s="28"/>
      <c r="J20" s="28"/>
      <c r="K20" s="29"/>
    </row>
    <row r="21" spans="2:11" ht="11.25">
      <c r="B21" s="189" t="s">
        <v>77</v>
      </c>
      <c r="C21" s="189"/>
      <c r="D21" s="189"/>
      <c r="E21" s="189"/>
      <c r="F21" s="28"/>
      <c r="G21" s="28"/>
      <c r="H21" s="28"/>
      <c r="I21" s="28"/>
      <c r="J21" s="28"/>
      <c r="K21" s="29"/>
    </row>
    <row r="22" spans="2:11" ht="11.25">
      <c r="B22" s="188" t="s">
        <v>125</v>
      </c>
      <c r="C22" s="188"/>
      <c r="D22" s="190">
        <v>414</v>
      </c>
      <c r="E22" s="190"/>
      <c r="F22" s="28"/>
      <c r="G22" s="28"/>
      <c r="H22" s="28"/>
      <c r="I22" s="28"/>
      <c r="J22" s="28"/>
      <c r="K22" s="29"/>
    </row>
    <row r="23" spans="2:11" ht="11.25">
      <c r="B23" s="189" t="s">
        <v>53</v>
      </c>
      <c r="C23" s="189"/>
      <c r="D23" s="189"/>
      <c r="E23" s="189"/>
      <c r="F23" s="28"/>
      <c r="G23" s="28"/>
      <c r="H23" s="28"/>
      <c r="I23" s="28"/>
      <c r="J23" s="28"/>
      <c r="K23" s="29"/>
    </row>
    <row r="24" spans="2:11" ht="11.25">
      <c r="B24" s="188" t="s">
        <v>17</v>
      </c>
      <c r="C24" s="188"/>
      <c r="D24" s="190">
        <v>190</v>
      </c>
      <c r="E24" s="190"/>
      <c r="F24" s="28"/>
      <c r="G24" s="28"/>
      <c r="H24" s="28"/>
      <c r="I24" s="28"/>
      <c r="J24" s="28"/>
      <c r="K24" s="29"/>
    </row>
    <row r="25" spans="2:11" ht="11.25">
      <c r="B25" s="221" t="s">
        <v>76</v>
      </c>
      <c r="C25" s="221"/>
      <c r="D25" s="221"/>
      <c r="E25" s="221"/>
      <c r="F25" s="223"/>
      <c r="G25" s="58">
        <v>20</v>
      </c>
      <c r="H25" s="28"/>
      <c r="I25" s="28"/>
      <c r="J25" s="28"/>
      <c r="K25" s="29"/>
    </row>
    <row r="27" spans="2:13" ht="12.75">
      <c r="B27" s="200" t="s">
        <v>68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2"/>
    </row>
    <row r="28" spans="2:13" ht="11.25">
      <c r="B28" s="222" t="s">
        <v>81</v>
      </c>
      <c r="C28" s="142"/>
      <c r="D28" s="165" t="s">
        <v>67</v>
      </c>
      <c r="E28" s="165"/>
      <c r="F28" s="165" t="s">
        <v>69</v>
      </c>
      <c r="G28" s="165"/>
      <c r="H28" s="165" t="s">
        <v>70</v>
      </c>
      <c r="I28" s="165"/>
      <c r="J28" s="165"/>
      <c r="K28" s="165" t="s">
        <v>71</v>
      </c>
      <c r="L28" s="165"/>
      <c r="M28" s="165"/>
    </row>
    <row r="29" spans="2:13" ht="11.25">
      <c r="B29" s="127" t="s">
        <v>73</v>
      </c>
      <c r="C29" s="191"/>
      <c r="D29" s="58">
        <v>0.9</v>
      </c>
      <c r="E29" s="58">
        <v>1.3</v>
      </c>
      <c r="F29" s="58">
        <v>1.4</v>
      </c>
      <c r="G29" s="58">
        <v>1.7</v>
      </c>
      <c r="H29" s="58">
        <f>0.75*1.4</f>
        <v>1.0499999999999998</v>
      </c>
      <c r="I29" s="58">
        <f>0.75*1.7</f>
        <v>1.275</v>
      </c>
      <c r="J29" s="58">
        <f>0.75*1.7</f>
        <v>1.275</v>
      </c>
      <c r="K29" s="58">
        <f>0.75*1.4</f>
        <v>1.0499999999999998</v>
      </c>
      <c r="L29" s="58">
        <f>0.75*1.7</f>
        <v>1.275</v>
      </c>
      <c r="M29" s="58">
        <f>0.75*1.87</f>
        <v>1.4025</v>
      </c>
    </row>
    <row r="30" spans="2:13" ht="11.25">
      <c r="B30" s="203" t="s">
        <v>146</v>
      </c>
      <c r="C30" s="204"/>
      <c r="D30" s="166">
        <f>$D$29*C9+$E$29*C11</f>
        <v>130</v>
      </c>
      <c r="E30" s="166"/>
      <c r="F30" s="166">
        <f>$F$29*C9+$G$29*C10</f>
        <v>0</v>
      </c>
      <c r="G30" s="166"/>
      <c r="H30" s="166">
        <f>$H$29*C9+$I$29*C10+$J$29*C11</f>
        <v>127.49999999999999</v>
      </c>
      <c r="I30" s="166"/>
      <c r="J30" s="166"/>
      <c r="K30" s="166">
        <f>$K$29*C9+$L$29*C10+$M$29*C12</f>
        <v>0</v>
      </c>
      <c r="L30" s="166"/>
      <c r="M30" s="166"/>
    </row>
    <row r="31" spans="2:13" ht="11.25">
      <c r="B31" s="203" t="s">
        <v>147</v>
      </c>
      <c r="C31" s="204"/>
      <c r="D31" s="136">
        <f>$D$29*D9+$E$29*D11</f>
        <v>720</v>
      </c>
      <c r="E31" s="136"/>
      <c r="F31" s="136">
        <f>$F$29*D9+$G$29*D10</f>
        <v>2255.6</v>
      </c>
      <c r="G31" s="136"/>
      <c r="H31" s="127">
        <f>$H$29*D9+$I$29*D10+$J$29*D11</f>
        <v>1691.6999999999998</v>
      </c>
      <c r="I31" s="191"/>
      <c r="J31" s="128"/>
      <c r="K31" s="136">
        <f>$K$29*D9+$L$29*D10+$M$29*D12</f>
        <v>1691.6999999999998</v>
      </c>
      <c r="L31" s="136"/>
      <c r="M31" s="136"/>
    </row>
    <row r="32" spans="2:13" ht="11.25">
      <c r="B32" s="203" t="s">
        <v>18</v>
      </c>
      <c r="C32" s="204"/>
      <c r="D32" s="136">
        <f>$D$29*E9+$E$29*E11</f>
        <v>0</v>
      </c>
      <c r="E32" s="136"/>
      <c r="F32" s="136">
        <f>$F$29*E9+$G$29*E10</f>
        <v>1360</v>
      </c>
      <c r="G32" s="136"/>
      <c r="H32" s="127">
        <f>$H$29*E9+$I$29*E10+$J$29*E11</f>
        <v>1019.9999999999999</v>
      </c>
      <c r="I32" s="191"/>
      <c r="J32" s="128"/>
      <c r="K32" s="136">
        <f>$K$29*E9+$L$29*E10+$M$29*E12</f>
        <v>1019.9999999999999</v>
      </c>
      <c r="L32" s="136"/>
      <c r="M32" s="136"/>
    </row>
    <row r="33" spans="2:13" ht="11.25">
      <c r="B33" s="26"/>
      <c r="C33" s="26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ht="12.75">
      <c r="B34" s="200" t="s">
        <v>79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/>
    </row>
    <row r="35" spans="2:13" ht="11.25">
      <c r="B35" s="230" t="s">
        <v>74</v>
      </c>
      <c r="C35" s="231"/>
      <c r="D35" s="231"/>
      <c r="E35" s="231"/>
      <c r="F35" s="231"/>
      <c r="G35" s="232"/>
      <c r="H35" s="30" t="s">
        <v>131</v>
      </c>
      <c r="I35" s="127" t="e">
        <f>CEILING((Footing_Width(C13:E13,qa,H/1000,hh/1000,s)),0.05)*1000</f>
        <v>#NAME?</v>
      </c>
      <c r="J35" s="128"/>
      <c r="K35" s="61" t="s">
        <v>132</v>
      </c>
      <c r="L35" s="258" t="e">
        <f>I35*s</f>
        <v>#NAME?</v>
      </c>
      <c r="M35" s="259"/>
    </row>
    <row r="36" spans="2:16" ht="12.75">
      <c r="B36" s="260" t="s">
        <v>80</v>
      </c>
      <c r="C36" s="261"/>
      <c r="D36" s="261"/>
      <c r="E36" s="261"/>
      <c r="F36" s="261"/>
      <c r="G36" s="262"/>
      <c r="H36" s="114" t="s">
        <v>131</v>
      </c>
      <c r="I36" s="161">
        <v>3100</v>
      </c>
      <c r="J36" s="161"/>
      <c r="K36" s="115" t="s">
        <v>132</v>
      </c>
      <c r="L36" s="161">
        <f>s*B</f>
        <v>4340</v>
      </c>
      <c r="M36" s="161"/>
      <c r="O36" s="249"/>
      <c r="P36" s="250"/>
    </row>
    <row r="37" spans="15:16" ht="11.25">
      <c r="O37" s="249"/>
      <c r="P37" s="250"/>
    </row>
    <row r="38" spans="2:13" ht="11.25">
      <c r="B38" s="162" t="s">
        <v>167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</row>
    <row r="39" spans="2:16" ht="12.75" customHeight="1">
      <c r="B39" s="192" t="s">
        <v>81</v>
      </c>
      <c r="C39" s="192"/>
      <c r="D39" s="192">
        <v>1</v>
      </c>
      <c r="E39" s="192"/>
      <c r="F39" s="192">
        <v>2</v>
      </c>
      <c r="G39" s="192"/>
      <c r="H39" s="129">
        <v>3</v>
      </c>
      <c r="I39" s="130"/>
      <c r="J39" s="131"/>
      <c r="K39" s="129">
        <v>4</v>
      </c>
      <c r="L39" s="130"/>
      <c r="M39" s="131"/>
      <c r="P39" s="47"/>
    </row>
    <row r="40" spans="2:13" ht="12.75" customHeight="1">
      <c r="B40" s="127" t="s">
        <v>86</v>
      </c>
      <c r="C40" s="128"/>
      <c r="D40" s="132">
        <f>((Fuy1/(L*B))+(6*(Muz1*1000+Fux1*(H+hh))/(B*L^2)))*1000000</f>
        <v>73.55323721244397</v>
      </c>
      <c r="E40" s="132"/>
      <c r="F40" s="132">
        <f>((Fuy2/(L*B))+(6*(Muz2*1000+Fux2*(H+hh))/(B*L^2)))*1000000</f>
        <v>307.4018382486424</v>
      </c>
      <c r="G40" s="132"/>
      <c r="H40" s="132">
        <f>((Fuy3/(L*B))+(6*(Muz3*1000+Fux3*(H+hh))/(B*L^2)))*1000000</f>
        <v>250.20359525099687</v>
      </c>
      <c r="I40" s="132"/>
      <c r="J40" s="132"/>
      <c r="K40" s="132">
        <f>((Fuy4/(L*B))+(6*(Muz4*1000+Fux4*(H+hh))/(B*L^2)))*1000000</f>
        <v>230.5513786864818</v>
      </c>
      <c r="L40" s="132"/>
      <c r="M40" s="132"/>
    </row>
    <row r="41" spans="2:13" ht="12.75" customHeight="1">
      <c r="B41" s="127" t="s">
        <v>133</v>
      </c>
      <c r="C41" s="128"/>
      <c r="D41" s="133" t="e">
        <f>CEILING(Footing_Depth(L,B,x,y,fc,D40),5)</f>
        <v>#NAME?</v>
      </c>
      <c r="E41" s="133"/>
      <c r="F41" s="133" t="e">
        <f>CEILING(Footing_Depth(L,B,x,y,fc,F40),5)</f>
        <v>#NAME?</v>
      </c>
      <c r="G41" s="133"/>
      <c r="H41" s="133" t="e">
        <f>CEILING(Footing_Depth(L,B,x,y,fc,H40),5)</f>
        <v>#NAME?</v>
      </c>
      <c r="I41" s="133"/>
      <c r="J41" s="133"/>
      <c r="K41" s="133" t="e">
        <f>CEILING(Footing_Depth(L,B,x,y,fc,K40),5)</f>
        <v>#NAME?</v>
      </c>
      <c r="L41" s="133"/>
      <c r="M41" s="133"/>
    </row>
    <row r="42" spans="2:13" ht="11.25">
      <c r="B42" s="31" t="s">
        <v>82</v>
      </c>
      <c r="G42" s="225" t="s">
        <v>83</v>
      </c>
      <c r="H42" s="226"/>
      <c r="I42" s="119" t="s">
        <v>134</v>
      </c>
      <c r="J42" s="120">
        <v>520</v>
      </c>
      <c r="K42" s="1" t="s">
        <v>85</v>
      </c>
      <c r="M42" s="1"/>
    </row>
    <row r="43" spans="7:13" ht="11.25">
      <c r="G43" s="227"/>
      <c r="H43" s="228"/>
      <c r="I43" s="114" t="s">
        <v>135</v>
      </c>
      <c r="J43" s="62">
        <v>590</v>
      </c>
      <c r="K43" s="1" t="s">
        <v>84</v>
      </c>
      <c r="M43" s="1"/>
    </row>
    <row r="44" spans="2:13" ht="11.2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2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9" ht="12.75">
      <c r="B46" s="200" t="s">
        <v>87</v>
      </c>
      <c r="C46" s="201"/>
      <c r="D46" s="201"/>
      <c r="E46" s="201"/>
      <c r="F46" s="201"/>
      <c r="G46" s="201"/>
      <c r="H46" s="201"/>
      <c r="I46" s="202"/>
    </row>
    <row r="47" spans="2:9" ht="11.25">
      <c r="B47" s="229" t="s">
        <v>21</v>
      </c>
      <c r="C47" s="229"/>
      <c r="D47" s="229"/>
      <c r="E47" s="166" t="s">
        <v>43</v>
      </c>
      <c r="F47" s="166"/>
      <c r="G47" s="166"/>
      <c r="H47" s="166"/>
      <c r="I47" s="100">
        <f>B*L*dd*25*0.000000001</f>
        <v>198.44650000000001</v>
      </c>
    </row>
    <row r="48" spans="2:9" ht="11.25">
      <c r="B48" s="148" t="s">
        <v>22</v>
      </c>
      <c r="C48" s="148"/>
      <c r="D48" s="148"/>
      <c r="E48" s="136" t="s">
        <v>44</v>
      </c>
      <c r="F48" s="136"/>
      <c r="G48" s="136"/>
      <c r="H48" s="136"/>
      <c r="I48" s="12">
        <f>x*y*(H+hh-dd)*25*0.000000001</f>
        <v>5.6875</v>
      </c>
    </row>
    <row r="49" spans="2:9" ht="11.25">
      <c r="B49" s="148" t="s">
        <v>23</v>
      </c>
      <c r="C49" s="148"/>
      <c r="D49" s="148"/>
      <c r="E49" s="136" t="s">
        <v>45</v>
      </c>
      <c r="F49" s="136"/>
      <c r="G49" s="136"/>
      <c r="H49" s="136"/>
      <c r="I49" s="12">
        <f>IF(hw=0,(B*L-x*y)*(H-dd)*20*0.000000001,(B*L-x*y)*(H-hw)*20*0.000000001)</f>
        <v>187.4968</v>
      </c>
    </row>
    <row r="50" spans="2:9" ht="11.25">
      <c r="B50" s="148" t="s">
        <v>24</v>
      </c>
      <c r="C50" s="148"/>
      <c r="D50" s="148"/>
      <c r="E50" s="136" t="s">
        <v>46</v>
      </c>
      <c r="F50" s="136"/>
      <c r="G50" s="136"/>
      <c r="H50" s="136"/>
      <c r="I50" s="12">
        <f>IF(hw&lt;dd,0,(B*L-x*y)*(hw-dd)*(20-10)*0.000000001)</f>
        <v>0</v>
      </c>
    </row>
    <row r="51" spans="8:9" ht="11.25">
      <c r="H51" s="47" t="s">
        <v>20</v>
      </c>
      <c r="I51" s="100">
        <f>SUM(I47:I50)</f>
        <v>391.6308</v>
      </c>
    </row>
    <row r="52" ht="11.25"/>
    <row r="53" ht="11.25"/>
    <row r="54" ht="11.25"/>
    <row r="55" ht="11.25"/>
    <row r="56" ht="11.25"/>
    <row r="57" spans="2:11" ht="12.75">
      <c r="B57" s="200" t="s">
        <v>88</v>
      </c>
      <c r="C57" s="201"/>
      <c r="D57" s="201"/>
      <c r="E57" s="201"/>
      <c r="F57" s="201"/>
      <c r="G57" s="201"/>
      <c r="H57" s="201"/>
      <c r="I57" s="201"/>
      <c r="J57" s="201"/>
      <c r="K57" s="202"/>
    </row>
    <row r="58" spans="2:11" ht="11.25">
      <c r="B58" s="193" t="s">
        <v>81</v>
      </c>
      <c r="C58" s="193"/>
      <c r="D58" s="193">
        <v>1</v>
      </c>
      <c r="E58" s="193"/>
      <c r="F58" s="193">
        <v>2</v>
      </c>
      <c r="G58" s="193"/>
      <c r="H58" s="193">
        <v>3</v>
      </c>
      <c r="I58" s="193"/>
      <c r="J58" s="193">
        <v>4</v>
      </c>
      <c r="K58" s="193"/>
    </row>
    <row r="59" spans="2:11" ht="11.25">
      <c r="B59" s="148" t="s">
        <v>33</v>
      </c>
      <c r="C59" s="148"/>
      <c r="D59" s="133" t="e">
        <f>Stress($D$30:$E$32,L,B,H,hh,x,d,0)</f>
        <v>#NAME?</v>
      </c>
      <c r="E59" s="133"/>
      <c r="F59" s="133" t="e">
        <f>Stress($F$30:$G$32,L,B,H,hh,x,d,0)</f>
        <v>#NAME?</v>
      </c>
      <c r="G59" s="133"/>
      <c r="H59" s="133" t="e">
        <f>Stress($H$30:$J$32,L,B,H,hh,x,d,0)</f>
        <v>#NAME?</v>
      </c>
      <c r="I59" s="133"/>
      <c r="J59" s="133" t="e">
        <f>Stress($K$30:$M$32,L,B,H,hh,x,d,0)</f>
        <v>#NAME?</v>
      </c>
      <c r="K59" s="133"/>
    </row>
    <row r="60" spans="2:11" ht="11.25">
      <c r="B60" s="32" t="s">
        <v>34</v>
      </c>
      <c r="C60" s="32"/>
      <c r="D60" s="133" t="e">
        <f>Stress($D$30:$E$32,L,B,H,hh,x,d,7)</f>
        <v>#NAME?</v>
      </c>
      <c r="E60" s="133"/>
      <c r="F60" s="133" t="e">
        <f>Stress($F$30:$G$32,L,B,H,hh,x,d,7)</f>
        <v>#NAME?</v>
      </c>
      <c r="G60" s="133"/>
      <c r="H60" s="133" t="e">
        <f>Stress($H$30:$J$32,L,B,H,hh,x,d,7)</f>
        <v>#NAME?</v>
      </c>
      <c r="I60" s="133"/>
      <c r="J60" s="133" t="e">
        <f>Stress($K$30:$M$32,L,B,H,hh,x,d,7)</f>
        <v>#NAME?</v>
      </c>
      <c r="K60" s="133"/>
    </row>
    <row r="61" spans="2:11" ht="11.25">
      <c r="B61" s="32" t="s">
        <v>35</v>
      </c>
      <c r="C61" s="32"/>
      <c r="D61" s="133" t="e">
        <f>IF(Stress($D$30:$E$32,L,B,H,hh,x,d,1)=0,"NA",Stress($D$30:$E$32,L,B,H,hh,x,d,1))</f>
        <v>#NAME?</v>
      </c>
      <c r="E61" s="133"/>
      <c r="F61" s="133" t="e">
        <f>IF(Stress($F$30:$G$32,L,B,H,hh,x,d,1)=0,"NA",Stress($F$30:$G$32,L,B,H,hh,x,d,1))</f>
        <v>#NAME?</v>
      </c>
      <c r="G61" s="133"/>
      <c r="H61" s="133" t="e">
        <f>IF(Stress($H$30:$J$32,L,B,H,hh,x,d,1)=0,"NA",Stress($H$30:$J$32,L,B,H,hh,x,d,1))</f>
        <v>#NAME?</v>
      </c>
      <c r="I61" s="133"/>
      <c r="J61" s="133" t="e">
        <f>IF(Stress($K$30:$M$32,L,B,H,hh,x,d,1)=0,"NA",Stress($K$30:$M$32,L,B,H,hh,x,d,1))</f>
        <v>#NAME?</v>
      </c>
      <c r="K61" s="133"/>
    </row>
    <row r="62" spans="2:11" ht="11.25">
      <c r="B62" s="32" t="s">
        <v>36</v>
      </c>
      <c r="C62" s="32"/>
      <c r="D62" s="133" t="e">
        <f>Stress($D$30:$E$32,L,B,H,hh,x,d,2)</f>
        <v>#NAME?</v>
      </c>
      <c r="E62" s="133"/>
      <c r="F62" s="133" t="e">
        <f>Stress($F$30:$G$32,L,B,H,hh,x,d,2)</f>
        <v>#NAME?</v>
      </c>
      <c r="G62" s="133"/>
      <c r="H62" s="133" t="e">
        <f>Stress($H$30:$J$32,L,B,H,hh,x,d,2)</f>
        <v>#NAME?</v>
      </c>
      <c r="I62" s="133"/>
      <c r="J62" s="133" t="e">
        <f>Stress($K$30:$M$32,L,B,H,hh,x,d,2)</f>
        <v>#NAME?</v>
      </c>
      <c r="K62" s="133"/>
    </row>
    <row r="63" spans="2:11" ht="11.25">
      <c r="B63" s="32" t="s">
        <v>37</v>
      </c>
      <c r="C63" s="32"/>
      <c r="D63" s="133" t="e">
        <f>Stress($D$30:$E$32,L,B,H,hh,x,d,3)</f>
        <v>#NAME?</v>
      </c>
      <c r="E63" s="133"/>
      <c r="F63" s="133" t="e">
        <f>Stress($F$30:$G$32,L,B,H,hh,x,d,3)</f>
        <v>#NAME?</v>
      </c>
      <c r="G63" s="133"/>
      <c r="H63" s="133" t="e">
        <f>Stress($H$30:$J$32,L,B,H,hh,x,d,3)</f>
        <v>#NAME?</v>
      </c>
      <c r="I63" s="133"/>
      <c r="J63" s="133" t="e">
        <f>Stress($K$30:$M$32,L,B,H,hh,x,d,3)</f>
        <v>#NAME?</v>
      </c>
      <c r="K63" s="133"/>
    </row>
    <row r="64" spans="2:11" ht="11.25">
      <c r="B64" s="32" t="s">
        <v>38</v>
      </c>
      <c r="C64" s="32"/>
      <c r="D64" s="133" t="e">
        <f>Stress($D$30:$E$32,L,B,H,hh,x,d,4)</f>
        <v>#NAME?</v>
      </c>
      <c r="E64" s="133"/>
      <c r="F64" s="133" t="e">
        <f>Stress($F$30:$G$32,L,B,H,hh,x,d,4)</f>
        <v>#NAME?</v>
      </c>
      <c r="G64" s="133"/>
      <c r="H64" s="133" t="e">
        <f>Stress($H$30:$J$32,L,B,H,hh,x,d,4)</f>
        <v>#NAME?</v>
      </c>
      <c r="I64" s="133"/>
      <c r="J64" s="133" t="e">
        <f>Stress($K$30:$M$32,L,B,H,hh,x,d,4)</f>
        <v>#NAME?</v>
      </c>
      <c r="K64" s="133"/>
    </row>
    <row r="65" spans="2:11" ht="11.25">
      <c r="B65" s="32" t="s">
        <v>39</v>
      </c>
      <c r="C65" s="32"/>
      <c r="D65" s="133" t="e">
        <f>Stress($D$30:$E$32,L,B,H,hh,x,d,5)</f>
        <v>#NAME?</v>
      </c>
      <c r="E65" s="133"/>
      <c r="F65" s="133" t="e">
        <f>Stress($F$30:$G$32,L,B,H,hh,x,d,5)</f>
        <v>#NAME?</v>
      </c>
      <c r="G65" s="133"/>
      <c r="H65" s="133" t="e">
        <f>Stress($H$30:$J$32,L,B,H,hh,x,d,5)</f>
        <v>#NAME?</v>
      </c>
      <c r="I65" s="133"/>
      <c r="J65" s="133" t="e">
        <f>Stress($K$30:$M$32,L,B,H,hh,x,d,5)</f>
        <v>#NAME?</v>
      </c>
      <c r="K65" s="133"/>
    </row>
    <row r="66" spans="2:11" ht="11.25">
      <c r="B66" s="32" t="s">
        <v>40</v>
      </c>
      <c r="C66" s="32"/>
      <c r="D66" s="133" t="e">
        <f>IF(Stress($D$30:$E$32,L,B,H,hh,x,d,6)=0,"NA",Stress($D$30:$E$32,L,B,H,hh,x,d,6))</f>
        <v>#NAME?</v>
      </c>
      <c r="E66" s="133"/>
      <c r="F66" s="133" t="e">
        <f>IF(Stress($F$30:$G$32,L,B,H,hh,x,d,6)=0,"NA",Stress($F$30:$G$32,L,B,H,hh,x,d,6))</f>
        <v>#NAME?</v>
      </c>
      <c r="G66" s="133"/>
      <c r="H66" s="133" t="e">
        <f>IF(Stress($H$30:$J$32,L,B,H,hh,x,d,6)=0,"NA",Stress($H$30:$J$32,L,B,H,hh,x,d,6))</f>
        <v>#NAME?</v>
      </c>
      <c r="I66" s="133"/>
      <c r="J66" s="133" t="e">
        <f>IF(Stress($K$30:$M$32,L,B,H,hh,x,d,6)=0,"NA",Stress($K$30:$M$32,L,B,H,hh,x,d,6))</f>
        <v>#NAME?</v>
      </c>
      <c r="K66" s="133"/>
    </row>
    <row r="67" spans="2:11" ht="11.25">
      <c r="B67" s="9"/>
      <c r="C67" s="9"/>
      <c r="D67" s="122"/>
      <c r="E67" s="122"/>
      <c r="F67" s="122"/>
      <c r="G67" s="122"/>
      <c r="H67" s="122"/>
      <c r="I67" s="122"/>
      <c r="J67" s="122"/>
      <c r="K67" s="122"/>
    </row>
    <row r="68" spans="1:14" ht="12" thickBot="1">
      <c r="A68" s="20"/>
      <c r="B68" s="33"/>
      <c r="C68" s="33"/>
      <c r="D68" s="102"/>
      <c r="E68" s="102"/>
      <c r="F68" s="102"/>
      <c r="G68" s="102"/>
      <c r="H68" s="102"/>
      <c r="I68" s="102"/>
      <c r="J68" s="102"/>
      <c r="K68" s="102"/>
      <c r="L68" s="21"/>
      <c r="M68" s="21"/>
      <c r="N68" s="22"/>
    </row>
    <row r="69" spans="1:14" ht="12.75" customHeight="1">
      <c r="A69" s="207" t="s">
        <v>160</v>
      </c>
      <c r="B69" s="208"/>
      <c r="C69" s="208"/>
      <c r="D69" s="208"/>
      <c r="E69" s="208"/>
      <c r="F69" s="208"/>
      <c r="G69" s="208"/>
      <c r="H69" s="209"/>
      <c r="I69" s="194" t="s">
        <v>3</v>
      </c>
      <c r="J69" s="195"/>
      <c r="K69" s="196" t="str">
        <f>K1</f>
        <v>Design</v>
      </c>
      <c r="L69" s="197"/>
      <c r="M69" s="198"/>
      <c r="N69" s="125" t="s">
        <v>2</v>
      </c>
    </row>
    <row r="70" spans="1:14" ht="13.5" customHeight="1" thickBot="1">
      <c r="A70" s="210"/>
      <c r="B70" s="211"/>
      <c r="C70" s="211"/>
      <c r="D70" s="211"/>
      <c r="E70" s="211"/>
      <c r="F70" s="211"/>
      <c r="G70" s="211"/>
      <c r="H70" s="212"/>
      <c r="I70" s="199" t="s">
        <v>1</v>
      </c>
      <c r="J70" s="187"/>
      <c r="K70" s="167">
        <f>K2</f>
        <v>0</v>
      </c>
      <c r="L70" s="168"/>
      <c r="M70" s="169"/>
      <c r="N70" s="205" t="s">
        <v>161</v>
      </c>
    </row>
    <row r="71" spans="1:14" ht="12" thickBot="1">
      <c r="A71" s="214" t="s">
        <v>0</v>
      </c>
      <c r="B71" s="215"/>
      <c r="C71" s="182" t="str">
        <f>C3</f>
        <v>Verification example from [Nawy, P.584]</v>
      </c>
      <c r="D71" s="182"/>
      <c r="E71" s="182"/>
      <c r="F71" s="182"/>
      <c r="G71" s="182"/>
      <c r="H71" s="183"/>
      <c r="I71" s="186" t="s">
        <v>4</v>
      </c>
      <c r="J71" s="187"/>
      <c r="K71" s="167" t="str">
        <f>K3</f>
        <v>Test1</v>
      </c>
      <c r="L71" s="168"/>
      <c r="M71" s="169"/>
      <c r="N71" s="206"/>
    </row>
    <row r="72" spans="1:14" ht="12" thickBot="1">
      <c r="A72" s="216"/>
      <c r="B72" s="217"/>
      <c r="C72" s="184"/>
      <c r="D72" s="184"/>
      <c r="E72" s="184"/>
      <c r="F72" s="184"/>
      <c r="G72" s="184"/>
      <c r="H72" s="185"/>
      <c r="I72" s="170" t="s">
        <v>5</v>
      </c>
      <c r="J72" s="171"/>
      <c r="K72" s="233" t="str">
        <f>K4</f>
        <v>Test2</v>
      </c>
      <c r="L72" s="234"/>
      <c r="M72" s="235"/>
      <c r="N72" s="126"/>
    </row>
    <row r="74" ht="15.75">
      <c r="A74" s="10" t="s">
        <v>54</v>
      </c>
    </row>
    <row r="76" ht="12.75">
      <c r="B76" s="11" t="s">
        <v>25</v>
      </c>
    </row>
    <row r="77" spans="2:13" ht="11.25">
      <c r="B77" s="213" t="s">
        <v>29</v>
      </c>
      <c r="C77" s="156"/>
      <c r="D77" s="95" t="s">
        <v>26</v>
      </c>
      <c r="E77" s="12">
        <f>Fy+df</f>
        <v>1859.6308</v>
      </c>
      <c r="F77" s="69"/>
      <c r="G77" s="218" t="s">
        <v>27</v>
      </c>
      <c r="H77" s="219"/>
      <c r="I77" s="34">
        <f>(Fv/(B*L)+6*(Mz*1000+Fx*(H+hh))/(B*L^2))*1000000</f>
        <v>235.84025979630883</v>
      </c>
      <c r="K77" s="218" t="s">
        <v>28</v>
      </c>
      <c r="L77" s="218"/>
      <c r="M77" s="34">
        <f>(Fv/(B*L)-6*(Mz*1000+Fx*(H+hh))/(B*L^2))*1000000</f>
        <v>40.60255275014573</v>
      </c>
    </row>
    <row r="78" ht="6.75" customHeight="1"/>
    <row r="79" spans="2:11" ht="12.75">
      <c r="B79" s="9" t="s">
        <v>150</v>
      </c>
      <c r="F79" s="1" t="str">
        <f>IF(qmax&gt;0,IF(qmin&gt;0,"( 3qmax + qmin ) /4",IF(qmin=0," 2 Fv / (B x L)"," 2 Fv / (3 ( L/2 - e ) B )")),"Error")</f>
        <v>( 3qmax + qmin ) /4</v>
      </c>
      <c r="K79" s="37"/>
    </row>
    <row r="80" spans="2:11" ht="12.75">
      <c r="B80" s="219" t="s">
        <v>157</v>
      </c>
      <c r="C80" s="263"/>
      <c r="D80" s="79">
        <f>IF(qmax&gt;0,IF(qmin&gt;0,(3*qmax+qmin)/4,IF(qmin=0,(1000000*2*Fv)/(B*L),(1000000*2*Fv)/(3*(L/2-e)*B))),"Error")</f>
        <v>187.03083303476805</v>
      </c>
      <c r="E80" s="1" t="s">
        <v>153</v>
      </c>
      <c r="F80" s="35" t="str">
        <f>IF(qGP&lt;=qa,"&lt; qa =","&gt; qa =")</f>
        <v>&lt; qa =</v>
      </c>
      <c r="G80" s="35">
        <f>qa</f>
        <v>190</v>
      </c>
      <c r="H80" s="37" t="str">
        <f>IF(qGP&lt;=qa,"YES","NO")</f>
        <v>YES</v>
      </c>
      <c r="K80" s="37"/>
    </row>
    <row r="81" ht="8.25" customHeight="1"/>
    <row r="82" ht="12.75">
      <c r="B82" s="11" t="s">
        <v>95</v>
      </c>
    </row>
    <row r="83" spans="2:9" ht="11.25">
      <c r="B83" s="136" t="s">
        <v>47</v>
      </c>
      <c r="C83" s="136"/>
      <c r="D83" s="136"/>
      <c r="E83" s="136" t="s">
        <v>19</v>
      </c>
      <c r="F83" s="136"/>
      <c r="G83" s="136"/>
      <c r="H83" s="12">
        <f>Mz+Fx*(H+hh)/1000</f>
        <v>950</v>
      </c>
      <c r="I83" s="1" t="s">
        <v>64</v>
      </c>
    </row>
    <row r="84" spans="2:9" ht="11.25">
      <c r="B84" s="136" t="s">
        <v>48</v>
      </c>
      <c r="C84" s="136"/>
      <c r="D84" s="136"/>
      <c r="E84" s="136" t="s">
        <v>49</v>
      </c>
      <c r="F84" s="136"/>
      <c r="G84" s="136"/>
      <c r="H84" s="12">
        <f>Fv*(L/2)/1000</f>
        <v>4035.398836</v>
      </c>
      <c r="I84" s="1" t="s">
        <v>64</v>
      </c>
    </row>
    <row r="85" spans="2:4" ht="11.25">
      <c r="B85" s="166"/>
      <c r="C85" s="166"/>
      <c r="D85" s="166"/>
    </row>
    <row r="86" spans="2:8" ht="12.75">
      <c r="B86" s="136"/>
      <c r="C86" s="136"/>
      <c r="D86" s="136"/>
      <c r="E86" s="36">
        <f>IF(H83=0,"N R",H84/H83)</f>
        <v>4.2477882484210525</v>
      </c>
      <c r="F86" s="36" t="str">
        <f>IF(E86&gt;=1.5,"&gt;","&lt;")</f>
        <v>&gt;</v>
      </c>
      <c r="G86" s="35">
        <v>1.5</v>
      </c>
      <c r="H86" s="13" t="str">
        <f>IF(H83=0,"Check not required",IF(F86="&gt;","YES","NO"))</f>
        <v>YES</v>
      </c>
    </row>
    <row r="87" spans="2:4" ht="11.25">
      <c r="B87" s="136"/>
      <c r="C87" s="136"/>
      <c r="D87" s="136"/>
    </row>
    <row r="89" ht="12.75">
      <c r="B89" s="11" t="s">
        <v>96</v>
      </c>
    </row>
    <row r="90" spans="2:4" ht="11.25">
      <c r="B90" s="136"/>
      <c r="C90" s="136"/>
      <c r="D90" s="136"/>
    </row>
    <row r="91" spans="2:8" ht="12.75">
      <c r="B91" s="136"/>
      <c r="C91" s="136"/>
      <c r="D91" s="136"/>
      <c r="E91" s="36">
        <f>IF(Fx=0,"N R",(Fv*TAN(phi*PI()/180))/Fx)</f>
        <v>6.768502579246452</v>
      </c>
      <c r="F91" s="36" t="str">
        <f>IF(E91&gt;=1.5,"&gt;","&lt;")</f>
        <v>&gt;</v>
      </c>
      <c r="G91" s="35">
        <v>1.5</v>
      </c>
      <c r="H91" s="13" t="str">
        <f>IF(Fx=0,"Check not required",IF(F91="&gt;","YES","NO"))</f>
        <v>YES</v>
      </c>
    </row>
    <row r="92" spans="2:4" ht="11.25">
      <c r="B92" s="136"/>
      <c r="C92" s="136"/>
      <c r="D92" s="136"/>
    </row>
    <row r="94" ht="12.75">
      <c r="B94" s="11" t="s">
        <v>111</v>
      </c>
    </row>
    <row r="95" spans="2:8" ht="11.25">
      <c r="B95" s="248" t="s">
        <v>41</v>
      </c>
      <c r="C95" s="248"/>
      <c r="D95" s="247" t="s">
        <v>50</v>
      </c>
      <c r="E95" s="247"/>
      <c r="F95" s="247"/>
      <c r="G95" s="247"/>
      <c r="H95" s="103">
        <f>(1/6)*SQRT(fc)*B/1000*d/1000*1000</f>
        <v>1411.459197662712</v>
      </c>
    </row>
    <row r="96" spans="2:11" ht="11.25">
      <c r="B96" s="149" t="s">
        <v>81</v>
      </c>
      <c r="C96" s="149"/>
      <c r="D96" s="149">
        <v>1</v>
      </c>
      <c r="E96" s="149"/>
      <c r="F96" s="149">
        <v>2</v>
      </c>
      <c r="G96" s="149"/>
      <c r="H96" s="149">
        <v>3</v>
      </c>
      <c r="I96" s="149"/>
      <c r="J96" s="149">
        <v>4</v>
      </c>
      <c r="K96" s="149"/>
    </row>
    <row r="97" spans="2:11" ht="11.25">
      <c r="B97" s="148" t="s">
        <v>93</v>
      </c>
      <c r="C97" s="148"/>
      <c r="D97" s="133" t="e">
        <f>IF(qu11="NA","NA",0.5*(qu11+qumax1)*(L/2-x/2-d)/1000*B/1000)</f>
        <v>#NAME?</v>
      </c>
      <c r="E97" s="133"/>
      <c r="F97" s="133" t="e">
        <f>IF(qu12="NA","NA",0.5*(qu12+qumax2)*(L/2-x/2-d)/1000*B/1000)</f>
        <v>#NAME?</v>
      </c>
      <c r="G97" s="133"/>
      <c r="H97" s="133" t="e">
        <f>IF(qu13="NA","NA",0.5*(qu13+qumax3)*(L/2-x/2-d)/1000*B/1000)</f>
        <v>#NAME?</v>
      </c>
      <c r="I97" s="133"/>
      <c r="J97" s="133" t="e">
        <f>IF(qu14="NA","NA",0.5*(qu14+qumax4)*(L/2-x/2-d)/1000*B/1000)</f>
        <v>#NAME?</v>
      </c>
      <c r="K97" s="133"/>
    </row>
    <row r="98" spans="2:11" ht="11.25">
      <c r="B98" s="203" t="s">
        <v>89</v>
      </c>
      <c r="C98" s="204"/>
      <c r="D98" s="151" t="e">
        <f>IF(D97="NA","NA",D97/(0.85*$H$95))</f>
        <v>#NAME?</v>
      </c>
      <c r="E98" s="151"/>
      <c r="F98" s="151" t="e">
        <f>IF(F97="NA","NA",F97/(0.85*$H$95))</f>
        <v>#NAME?</v>
      </c>
      <c r="G98" s="151"/>
      <c r="H98" s="151" t="e">
        <f>IF(H97="NA","NA",H97/(0.85*$H$95))</f>
        <v>#NAME?</v>
      </c>
      <c r="I98" s="151"/>
      <c r="J98" s="151" t="e">
        <f>IF(J97="NA","NA",J97/(0.85*$H$95))</f>
        <v>#NAME?</v>
      </c>
      <c r="K98" s="151"/>
    </row>
    <row r="99" spans="2:8" ht="11.25">
      <c r="B99" s="9" t="s">
        <v>92</v>
      </c>
      <c r="C99" s="9"/>
      <c r="D99" s="9"/>
      <c r="E99" s="9"/>
      <c r="F99" s="69"/>
      <c r="G99" s="69"/>
      <c r="H99" s="69"/>
    </row>
    <row r="100" spans="2:10" ht="12.75">
      <c r="B100" s="9"/>
      <c r="C100" s="9"/>
      <c r="D100" s="9"/>
      <c r="F100" s="38" t="s">
        <v>90</v>
      </c>
      <c r="G100" s="39" t="e">
        <f>IF(MAX(D98:K98)=0,"NA",MAX(D98:K98))</f>
        <v>#NAME?</v>
      </c>
      <c r="H100" s="39" t="e">
        <f>IF(G100&lt;1,"&lt;","&gt;")</f>
        <v>#NAME?</v>
      </c>
      <c r="I100" s="40">
        <v>1</v>
      </c>
      <c r="J100" s="13" t="e">
        <f>IF(G100="NA","No Need For Checking",IF(H100="&lt;","YES","NO"))</f>
        <v>#NAME?</v>
      </c>
    </row>
    <row r="101" spans="2:10" ht="11.25">
      <c r="B101" s="9"/>
      <c r="C101" s="9"/>
      <c r="D101" s="9"/>
      <c r="F101" s="38"/>
      <c r="G101" s="39"/>
      <c r="H101" s="39"/>
      <c r="I101" s="40"/>
      <c r="J101" s="41"/>
    </row>
    <row r="102" ht="12.75">
      <c r="B102" s="11" t="s">
        <v>162</v>
      </c>
    </row>
    <row r="103" spans="2:7" ht="11.25">
      <c r="B103" s="136" t="s">
        <v>136</v>
      </c>
      <c r="C103" s="136"/>
      <c r="D103" s="136" t="s">
        <v>91</v>
      </c>
      <c r="E103" s="136"/>
      <c r="F103" s="136"/>
      <c r="G103" s="57">
        <f>2*((x+d)+(y+d))</f>
        <v>4080</v>
      </c>
    </row>
    <row r="104" spans="2:13" ht="11.25">
      <c r="B104" s="134" t="s">
        <v>112</v>
      </c>
      <c r="C104" s="134"/>
      <c r="D104" s="136" t="s">
        <v>51</v>
      </c>
      <c r="E104" s="136"/>
      <c r="F104" s="136"/>
      <c r="G104" s="136"/>
      <c r="H104" s="136"/>
      <c r="I104" s="136"/>
      <c r="J104" s="12">
        <f>(1/3)*SQRT(fc)*bo/1000*d/1000*1000</f>
        <v>3715.324855783139</v>
      </c>
      <c r="K104" s="134" t="s">
        <v>41</v>
      </c>
      <c r="L104" s="135"/>
      <c r="M104" s="134">
        <f>MIN(J104:J106)</f>
        <v>3715.324855783139</v>
      </c>
    </row>
    <row r="105" spans="2:13" ht="11.25">
      <c r="B105" s="134"/>
      <c r="C105" s="134"/>
      <c r="D105" s="136" t="s">
        <v>97</v>
      </c>
      <c r="E105" s="136"/>
      <c r="F105" s="136"/>
      <c r="G105" s="136"/>
      <c r="H105" s="136"/>
      <c r="I105" s="136"/>
      <c r="J105" s="12">
        <f>(1+(2/(x/y)))*(1/6)*SQRT(fc)*bo/1000*d/1000*1000</f>
        <v>5572.987283674709</v>
      </c>
      <c r="K105" s="134"/>
      <c r="L105" s="135"/>
      <c r="M105" s="134"/>
    </row>
    <row r="106" spans="2:13" ht="11.25">
      <c r="B106" s="134"/>
      <c r="C106" s="134"/>
      <c r="D106" s="136" t="s">
        <v>52</v>
      </c>
      <c r="E106" s="136"/>
      <c r="F106" s="136"/>
      <c r="G106" s="136"/>
      <c r="H106" s="136"/>
      <c r="I106" s="136"/>
      <c r="J106" s="12">
        <f>((40*d/bo)+2)*(1/12)*SQRT(fc)*bo/1000*d/1000*1000</f>
        <v>6592.880381340668</v>
      </c>
      <c r="K106" s="134"/>
      <c r="L106" s="135"/>
      <c r="M106" s="134"/>
    </row>
    <row r="107" spans="2:11" ht="11.25">
      <c r="B107" s="149" t="s">
        <v>81</v>
      </c>
      <c r="C107" s="149"/>
      <c r="D107" s="149">
        <v>1</v>
      </c>
      <c r="E107" s="149"/>
      <c r="F107" s="149">
        <v>2</v>
      </c>
      <c r="G107" s="149"/>
      <c r="H107" s="149">
        <v>3</v>
      </c>
      <c r="I107" s="149"/>
      <c r="J107" s="149">
        <v>4</v>
      </c>
      <c r="K107" s="149"/>
    </row>
    <row r="108" spans="2:16" ht="11.25">
      <c r="B108" s="148" t="s">
        <v>93</v>
      </c>
      <c r="C108" s="148"/>
      <c r="D108" s="151" t="e">
        <f>Fuy1-((0.5*(qu21+qu51))*(x+d)/1000*(y+d)/1000)</f>
        <v>#NAME?</v>
      </c>
      <c r="E108" s="151"/>
      <c r="F108" s="151" t="e">
        <f>Fuy2-((0.5*(qu22+qu52))*(x+d)/1000*(y+d)/1000)</f>
        <v>#NAME?</v>
      </c>
      <c r="G108" s="151"/>
      <c r="H108" s="151" t="e">
        <f>Fuy3-((0.5*(qu23+qu53))*(x+d)/1000*(y+d)/1000)</f>
        <v>#NAME?</v>
      </c>
      <c r="I108" s="151"/>
      <c r="J108" s="151" t="e">
        <f>Fuy4-((0.5*(qu24+qu54))*(x+d)/1000*(y+d)/1000)</f>
        <v>#NAME?</v>
      </c>
      <c r="K108" s="151"/>
      <c r="O108" s="144"/>
      <c r="P108" s="145"/>
    </row>
    <row r="109" spans="2:11" ht="11.25">
      <c r="B109" s="203" t="s">
        <v>89</v>
      </c>
      <c r="C109" s="204"/>
      <c r="D109" s="159" t="e">
        <f>D108/(0.85*$M$104)</f>
        <v>#NAME?</v>
      </c>
      <c r="E109" s="160"/>
      <c r="F109" s="159" t="e">
        <f>F108/(0.85*$M$104)</f>
        <v>#NAME?</v>
      </c>
      <c r="G109" s="160"/>
      <c r="H109" s="159" t="e">
        <f>H108/(0.85*$M$104)</f>
        <v>#NAME?</v>
      </c>
      <c r="I109" s="160"/>
      <c r="J109" s="159" t="e">
        <f>J108/(0.85*$M$104)</f>
        <v>#NAME?</v>
      </c>
      <c r="K109" s="160"/>
    </row>
    <row r="110" spans="2:7" ht="11.25">
      <c r="B110" s="1" t="s">
        <v>94</v>
      </c>
      <c r="D110" s="31"/>
      <c r="G110" s="31"/>
    </row>
    <row r="111" spans="4:10" ht="12.75">
      <c r="D111" s="31"/>
      <c r="F111" s="38" t="s">
        <v>90</v>
      </c>
      <c r="G111" s="31" t="e">
        <f>MAX(D109:K109)</f>
        <v>#NAME?</v>
      </c>
      <c r="H111" s="36" t="e">
        <f>IF(G111&lt;1,"&lt;","&gt;")</f>
        <v>#NAME?</v>
      </c>
      <c r="I111" s="40">
        <v>1</v>
      </c>
      <c r="J111" s="13" t="e">
        <f>IF(H111="&lt;","YES","NO")</f>
        <v>#NAME?</v>
      </c>
    </row>
    <row r="112" spans="4:10" ht="11.25">
      <c r="D112" s="31"/>
      <c r="F112" s="38"/>
      <c r="G112" s="31"/>
      <c r="H112" s="36"/>
      <c r="I112" s="40"/>
      <c r="J112" s="41"/>
    </row>
    <row r="114" ht="15.75">
      <c r="A114" s="10" t="s">
        <v>42</v>
      </c>
    </row>
    <row r="115" ht="12" customHeight="1">
      <c r="A115" s="10"/>
    </row>
    <row r="116" ht="12" thickBot="1"/>
    <row r="117" spans="1:14" ht="11.25">
      <c r="A117" s="104"/>
      <c r="B117" s="42"/>
      <c r="C117" s="140" t="s">
        <v>113</v>
      </c>
      <c r="D117" s="140"/>
      <c r="E117" s="140"/>
      <c r="F117" s="140"/>
      <c r="G117" s="140"/>
      <c r="H117" s="140"/>
      <c r="I117" s="140" t="s">
        <v>114</v>
      </c>
      <c r="J117" s="140"/>
      <c r="K117" s="140"/>
      <c r="L117" s="140"/>
      <c r="M117" s="140"/>
      <c r="N117" s="150"/>
    </row>
    <row r="118" spans="1:14" ht="11.25">
      <c r="A118" s="105"/>
      <c r="B118" s="106"/>
      <c r="C118" s="138" t="s">
        <v>55</v>
      </c>
      <c r="D118" s="138"/>
      <c r="E118" s="138"/>
      <c r="F118" s="154"/>
      <c r="G118" s="137" t="s">
        <v>56</v>
      </c>
      <c r="H118" s="138"/>
      <c r="I118" s="138"/>
      <c r="J118" s="154"/>
      <c r="K118" s="137" t="s">
        <v>55</v>
      </c>
      <c r="L118" s="138"/>
      <c r="M118" s="138"/>
      <c r="N118" s="139"/>
    </row>
    <row r="119" spans="1:14" ht="11.25">
      <c r="A119" s="141" t="s">
        <v>81</v>
      </c>
      <c r="B119" s="142"/>
      <c r="C119" s="116">
        <v>1</v>
      </c>
      <c r="D119" s="116">
        <v>2</v>
      </c>
      <c r="E119" s="116">
        <v>3</v>
      </c>
      <c r="F119" s="116">
        <v>4</v>
      </c>
      <c r="G119" s="116">
        <v>1</v>
      </c>
      <c r="H119" s="116">
        <v>2</v>
      </c>
      <c r="I119" s="116">
        <v>3</v>
      </c>
      <c r="J119" s="116">
        <v>4</v>
      </c>
      <c r="K119" s="116">
        <v>1</v>
      </c>
      <c r="L119" s="116">
        <v>2</v>
      </c>
      <c r="M119" s="116">
        <v>3</v>
      </c>
      <c r="N119" s="117">
        <v>4</v>
      </c>
    </row>
    <row r="120" spans="1:20" ht="11.25">
      <c r="A120" s="143" t="s">
        <v>57</v>
      </c>
      <c r="B120" s="128"/>
      <c r="C120" s="5" t="e">
        <f>(qu31*(L/2-x/2)*B*(L/2-x/2)/2)*0.000000001+(0.5*(qumax1-qu31)*(L/2-x/2)*B*(2/3*(L/2-x/2)))*0.000000001</f>
        <v>#NAME?</v>
      </c>
      <c r="D120" s="5" t="e">
        <f>(qu32*(L/2-x/2)*B*(L/2-x/2)/2)*0.000000001+(0.5*(qumax2-qu32)*(L/2-x/2)*B*(2/3*(L/2-x/2)))*0.000000001</f>
        <v>#NAME?</v>
      </c>
      <c r="E120" s="5" t="e">
        <f>(qu33*(L/2-x/2)*B*(L/2-x/2)/2)*0.000000001+(0.5*(qumax3-qu33)*(L/2-x/2)*B*(2/3*(L/2-x/2)))*0.000000001</f>
        <v>#NAME?</v>
      </c>
      <c r="F120" s="5" t="e">
        <f>(qu34*(L/2-x/2)*B*(L/2-x/2)/2)*0.000000001+(0.5*(qumax4-qu34)*(L/2-x/2)*B*(2/3*(L/2-x/2)))*0.000000001</f>
        <v>#NAME?</v>
      </c>
      <c r="G120" s="5" t="e">
        <f>IF(qumin1&lt;0,0.000000001*qumin1*(L/2-x/2)*B*(L/2-x/2)/2,"N R")</f>
        <v>#NAME?</v>
      </c>
      <c r="H120" s="5" t="e">
        <f>IF(qumin2&lt;0,0.000000001*qumin2*(L/2-x/2)*B*(L/2-x/2)/2,"N R")</f>
        <v>#NAME?</v>
      </c>
      <c r="I120" s="5" t="e">
        <f>IF(qumin3&lt;0,0.000000001*qumin3*(L/2-x/2)*B*(L/2-x/2)/2,"N R")</f>
        <v>#NAME?</v>
      </c>
      <c r="J120" s="5" t="e">
        <f>IF(qumin4&lt;0,0.000000001*qumin4*(L/2-x/2)*B*(L/2-x/2)/2,"N R")</f>
        <v>#NAME?</v>
      </c>
      <c r="K120" s="5" t="e">
        <f>0.000000001*0.5*(qumax1+qumin1)*L*0.5*(B/2-y/2)^2</f>
        <v>#NAME?</v>
      </c>
      <c r="L120" s="5" t="e">
        <f>0.000000001*0.5*(qumax2+qumin2)*L*0.5*(B/2-y/2)^2</f>
        <v>#NAME?</v>
      </c>
      <c r="M120" s="5" t="e">
        <f>0.000000001*0.5*(qumax3+qumin3)*L*0.5*(B/2-y/2)^2</f>
        <v>#NAME?</v>
      </c>
      <c r="N120" s="107" t="e">
        <f>0.000000001*0.5*(qumax4+qumin4)*L*0.5*(B/2-y/2)^2</f>
        <v>#NAME?</v>
      </c>
      <c r="S120" s="99"/>
      <c r="T120" s="99"/>
    </row>
    <row r="121" spans="1:14" ht="11.25">
      <c r="A121" s="155" t="s">
        <v>137</v>
      </c>
      <c r="B121" s="156"/>
      <c r="C121" s="43" t="e">
        <f>Area_of_Steel(fyy*1000,fc*1000,C120,B,d)</f>
        <v>#NAME?</v>
      </c>
      <c r="D121" s="43" t="e">
        <f>Area_of_Steel(fyy*1000,fc*1000,D120,B,d)</f>
        <v>#NAME?</v>
      </c>
      <c r="E121" s="43" t="e">
        <f>Area_of_Steel(fyy*1000,fc*1000,E120,B,d)</f>
        <v>#NAME?</v>
      </c>
      <c r="F121" s="43" t="e">
        <f>Area_of_Steel(fyy*1000,fc*1000,F120,B,d)</f>
        <v>#NAME?</v>
      </c>
      <c r="G121" s="43" t="e">
        <f>IF(G120="N R","N R",Area_of_Steel(fyy*1000,fc*1000,-G120,B,d))</f>
        <v>#NAME?</v>
      </c>
      <c r="H121" s="43" t="e">
        <f>IF(H120="N R","N R",Area_of_Steel(fyy*1000,fc*1000,-H120,B,d))</f>
        <v>#NAME?</v>
      </c>
      <c r="I121" s="43" t="e">
        <f>IF(I120="N R","N R",Area_of_Steel(fyy*1000,fc*1000,-I120,B,d))</f>
        <v>#NAME?</v>
      </c>
      <c r="J121" s="43" t="e">
        <f>IF(J120="N R","N R",Area_of_Steel(fyy*1000,fc*1000,-J120,B,d))</f>
        <v>#NAME?</v>
      </c>
      <c r="K121" s="43" t="e">
        <f>Area_of_Steel(fyy*1000,fc*1000,K120,B,d)</f>
        <v>#NAME?</v>
      </c>
      <c r="L121" s="43" t="e">
        <f>Area_of_Steel(fyy*1000,fc*1000,L120,B,d)</f>
        <v>#NAME?</v>
      </c>
      <c r="M121" s="43" t="e">
        <f>Area_of_Steel(fyy*1000,fc*1000,M120,B,d)</f>
        <v>#NAME?</v>
      </c>
      <c r="N121" s="44" t="e">
        <f>Area_of_Steel(fyy*1000,fc*1000,N120,B,d)</f>
        <v>#NAME?</v>
      </c>
    </row>
    <row r="122" spans="1:14" ht="11.25">
      <c r="A122" s="157" t="s">
        <v>163</v>
      </c>
      <c r="B122" s="158"/>
      <c r="C122" s="43" t="e">
        <f>IF(100*C121/(B*d)&lt;0.0018,0.0018,IF(100*C121/(B*d)&gt;$K$124,$K$124,100*C121/(B*d)))</f>
        <v>#NAME?</v>
      </c>
      <c r="D122" s="43" t="e">
        <f>IF(100*D121/(B*d)&lt;0.0018,0.0018,IF(100*D121/(B*d)&gt;$K$124,$K$124,100*D121/(B*d)))</f>
        <v>#NAME?</v>
      </c>
      <c r="E122" s="43" t="e">
        <f>IF(100*E121/(B*d)&lt;0.0018,0.0018,IF(100*E121/(B*d)&gt;$K$124,$K$124,100*E121/(B*d)))</f>
        <v>#NAME?</v>
      </c>
      <c r="F122" s="43" t="e">
        <f>IF(100*F121/(B*d)&lt;0.0018,0.0018,IF(100*F121/(B*d)&gt;$K$124,$K$124,100*F121/(B*d)))</f>
        <v>#NAME?</v>
      </c>
      <c r="G122" s="43" t="e">
        <f>IF(G120="N R","N R",IF(100*G121/(B*d)&lt;0.0018,0.0018,IF(100*G121/(B*d)&gt;$K$124,$K$124,100*G121/(B*d))))</f>
        <v>#NAME?</v>
      </c>
      <c r="H122" s="43" t="e">
        <f>IF(H120="N R","N R",IF(100*H121/(B*d)&lt;0.0018,0.0018,IF(100*H121/(B*d)&gt;$K$124,$K$124,100*H121/(B*d))))</f>
        <v>#NAME?</v>
      </c>
      <c r="I122" s="43" t="e">
        <f>IF(I120="N R","N R",IF(100*I121/(B*d)&lt;0.0018,0.0018,IF(100*I121/(B*d)&gt;$K$124,$K$124,100*I121/(B*d))))</f>
        <v>#NAME?</v>
      </c>
      <c r="J122" s="43" t="e">
        <f>IF(J120="N R","N R",IF(100*J121/(B*d)&lt;0.0018,0.0018,IF(100*J121/(B*d)&gt;$K$124,$K$124,100*J121/(B*d))))</f>
        <v>#NAME?</v>
      </c>
      <c r="K122" s="43" t="e">
        <f>IF(100*K121/(L*d)&lt;0.0018,0.0018,IF(100*K121/(L*d)&gt;$K$124,$K$124,100*K121/(L*d)))</f>
        <v>#NAME?</v>
      </c>
      <c r="L122" s="43" t="e">
        <f>IF(100*L121/(L*d)&lt;0.0018,0.0018,IF(100*L121/(L*d)&gt;$K$124,$K$124,100*L121/(L*d)))</f>
        <v>#NAME?</v>
      </c>
      <c r="M122" s="43" t="e">
        <f>IF(100*M121/(L*d)&lt;0.0018,0.0018,IF(100*M121/(L*d)&gt;$K$124,$K$124,100*M121/(L*d)))</f>
        <v>#NAME?</v>
      </c>
      <c r="N122" s="44" t="e">
        <f>IF(100*N121/(L*d)&lt;0.0018,0.0018,IF(100*N121/(L*d)&gt;$K$124,$K$124,100*N121/(L*d)))</f>
        <v>#NAME?</v>
      </c>
    </row>
    <row r="123" spans="1:14" ht="12" thickBot="1">
      <c r="A123" s="152" t="s">
        <v>164</v>
      </c>
      <c r="B123" s="153"/>
      <c r="C123" s="146" t="e">
        <f>MAX(C122:F122)</f>
        <v>#NAME?</v>
      </c>
      <c r="D123" s="146"/>
      <c r="E123" s="146"/>
      <c r="F123" s="146"/>
      <c r="G123" s="146" t="e">
        <f>MAX(G122:J122)</f>
        <v>#NAME?</v>
      </c>
      <c r="H123" s="146"/>
      <c r="I123" s="146"/>
      <c r="J123" s="146"/>
      <c r="K123" s="146" t="e">
        <f>MAX(K122:N122)</f>
        <v>#NAME?</v>
      </c>
      <c r="L123" s="146"/>
      <c r="M123" s="146"/>
      <c r="N123" s="147"/>
    </row>
    <row r="124" spans="2:12" ht="11.25">
      <c r="B124" s="118" t="s">
        <v>165</v>
      </c>
      <c r="F124" s="118" t="s">
        <v>166</v>
      </c>
      <c r="J124" s="8"/>
      <c r="K124" s="45">
        <f>0.75*((0.85*fc)/(fyy))*(600/(600+fyy/1000))</f>
        <v>0.042470695220298</v>
      </c>
      <c r="L124" s="45" t="s">
        <v>103</v>
      </c>
    </row>
    <row r="125" spans="2:9" ht="11.25">
      <c r="B125" s="46" t="s">
        <v>115</v>
      </c>
      <c r="C125" s="8"/>
      <c r="D125" s="8"/>
      <c r="E125" s="8"/>
      <c r="F125" s="8"/>
      <c r="G125" s="8"/>
      <c r="H125" s="8"/>
      <c r="I125" s="8"/>
    </row>
    <row r="126" spans="2:9" ht="11.25">
      <c r="B126" s="8" t="s">
        <v>58</v>
      </c>
      <c r="C126" s="8"/>
      <c r="D126" s="8"/>
      <c r="E126" s="8"/>
      <c r="F126" s="8"/>
      <c r="G126" s="8"/>
      <c r="H126" s="8"/>
      <c r="I126" s="8"/>
    </row>
    <row r="127" ht="11.25">
      <c r="B127" s="8" t="s">
        <v>102</v>
      </c>
    </row>
    <row r="128" ht="11.25">
      <c r="B128" s="46" t="s">
        <v>116</v>
      </c>
    </row>
    <row r="129" ht="11.25">
      <c r="B129" s="8" t="s">
        <v>59</v>
      </c>
    </row>
    <row r="130" spans="2:12" ht="11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1" ht="12.75"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5" spans="1:14" ht="12" thickBot="1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2"/>
    </row>
    <row r="136" spans="1:14" ht="11.25">
      <c r="A136" s="236" t="s">
        <v>124</v>
      </c>
      <c r="B136" s="237"/>
      <c r="C136" s="237"/>
      <c r="D136" s="237"/>
      <c r="E136" s="237"/>
      <c r="F136" s="237"/>
      <c r="G136" s="237"/>
      <c r="H136" s="238"/>
      <c r="I136" s="242" t="s">
        <v>3</v>
      </c>
      <c r="J136" s="243"/>
      <c r="K136" s="244" t="s">
        <v>11</v>
      </c>
      <c r="L136" s="245"/>
      <c r="M136" s="246"/>
      <c r="N136" s="96" t="s">
        <v>2</v>
      </c>
    </row>
    <row r="137" spans="1:14" ht="12" thickBot="1">
      <c r="A137" s="239"/>
      <c r="B137" s="240"/>
      <c r="C137" s="240"/>
      <c r="D137" s="240"/>
      <c r="E137" s="240"/>
      <c r="F137" s="240"/>
      <c r="G137" s="240"/>
      <c r="H137" s="241"/>
      <c r="I137" s="251" t="s">
        <v>1</v>
      </c>
      <c r="J137" s="252"/>
      <c r="K137" s="253"/>
      <c r="L137" s="254"/>
      <c r="M137" s="255"/>
      <c r="N137" s="256" t="s">
        <v>30</v>
      </c>
    </row>
    <row r="138" spans="1:14" ht="12" thickBot="1">
      <c r="A138" s="264" t="s">
        <v>0</v>
      </c>
      <c r="B138" s="265"/>
      <c r="C138" s="268" t="s">
        <v>13</v>
      </c>
      <c r="D138" s="268"/>
      <c r="E138" s="268"/>
      <c r="F138" s="268"/>
      <c r="G138" s="268"/>
      <c r="H138" s="269"/>
      <c r="I138" s="272" t="s">
        <v>4</v>
      </c>
      <c r="J138" s="252"/>
      <c r="K138" s="253" t="s">
        <v>13</v>
      </c>
      <c r="L138" s="254"/>
      <c r="M138" s="255"/>
      <c r="N138" s="257"/>
    </row>
    <row r="139" spans="1:14" ht="12" thickBot="1">
      <c r="A139" s="266"/>
      <c r="B139" s="267"/>
      <c r="C139" s="270"/>
      <c r="D139" s="270"/>
      <c r="E139" s="270"/>
      <c r="F139" s="270"/>
      <c r="G139" s="270"/>
      <c r="H139" s="271"/>
      <c r="I139" s="273" t="s">
        <v>5</v>
      </c>
      <c r="J139" s="274"/>
      <c r="K139" s="275" t="s">
        <v>12</v>
      </c>
      <c r="L139" s="276"/>
      <c r="M139" s="277"/>
      <c r="N139" s="97"/>
    </row>
    <row r="140" spans="1:14" ht="11.25">
      <c r="A140" s="50"/>
      <c r="B140" s="51"/>
      <c r="C140" s="53"/>
      <c r="D140" s="53"/>
      <c r="E140" s="53"/>
      <c r="F140" s="53"/>
      <c r="G140" s="53"/>
      <c r="H140" s="53"/>
      <c r="I140" s="54"/>
      <c r="J140" s="54"/>
      <c r="K140" s="55"/>
      <c r="L140" s="55"/>
      <c r="M140" s="55"/>
      <c r="N140" s="109"/>
    </row>
    <row r="141" spans="1:14" ht="11.25">
      <c r="A141" s="50"/>
      <c r="B141" s="51"/>
      <c r="C141" s="53"/>
      <c r="D141" s="53"/>
      <c r="E141" s="53"/>
      <c r="F141" s="53"/>
      <c r="G141" s="53"/>
      <c r="H141" s="53"/>
      <c r="I141" s="54"/>
      <c r="J141" s="54"/>
      <c r="K141" s="55"/>
      <c r="L141" s="55"/>
      <c r="M141" s="55"/>
      <c r="N141" s="109"/>
    </row>
    <row r="142" spans="1:14" ht="11.25">
      <c r="A142" s="50"/>
      <c r="B142" s="51"/>
      <c r="C142" s="53"/>
      <c r="D142" s="53"/>
      <c r="E142" s="53"/>
      <c r="F142" s="53"/>
      <c r="G142" s="53"/>
      <c r="H142" s="53"/>
      <c r="I142" s="54"/>
      <c r="J142" s="54"/>
      <c r="K142" s="55"/>
      <c r="L142" s="55"/>
      <c r="M142" s="55"/>
      <c r="N142" s="109"/>
    </row>
    <row r="143" spans="1:14" ht="11.25">
      <c r="A143" s="50"/>
      <c r="B143" s="51"/>
      <c r="C143" s="53"/>
      <c r="D143" s="53"/>
      <c r="E143" s="53"/>
      <c r="F143" s="53"/>
      <c r="G143" s="53"/>
      <c r="H143" s="53"/>
      <c r="I143" s="54"/>
      <c r="J143" s="54"/>
      <c r="K143" s="55"/>
      <c r="L143" s="55"/>
      <c r="M143" s="55"/>
      <c r="N143" s="109"/>
    </row>
    <row r="144" spans="1:14" ht="11.25">
      <c r="A144" s="50"/>
      <c r="B144" s="51"/>
      <c r="C144" s="53"/>
      <c r="D144" s="53"/>
      <c r="E144" s="53"/>
      <c r="F144" s="53"/>
      <c r="G144" s="53"/>
      <c r="H144" s="53"/>
      <c r="I144" s="54"/>
      <c r="J144" s="54"/>
      <c r="K144" s="55"/>
      <c r="L144" s="55"/>
      <c r="M144" s="55"/>
      <c r="N144" s="109"/>
    </row>
    <row r="145" spans="1:14" ht="11.25">
      <c r="A145" s="50"/>
      <c r="B145" s="51"/>
      <c r="C145" s="53"/>
      <c r="D145" s="53"/>
      <c r="E145" s="53"/>
      <c r="F145" s="53"/>
      <c r="G145" s="53"/>
      <c r="H145" s="53"/>
      <c r="I145" s="54"/>
      <c r="J145" s="54"/>
      <c r="K145" s="55"/>
      <c r="L145" s="55"/>
      <c r="M145" s="55"/>
      <c r="N145" s="109"/>
    </row>
    <row r="146" spans="1:14" ht="11.25">
      <c r="A146" s="50"/>
      <c r="B146" s="51"/>
      <c r="C146" s="53"/>
      <c r="D146" s="53"/>
      <c r="E146" s="53"/>
      <c r="F146" s="53"/>
      <c r="G146" s="53"/>
      <c r="H146" s="53"/>
      <c r="I146" s="54"/>
      <c r="J146" s="54"/>
      <c r="K146" s="55"/>
      <c r="L146" s="55"/>
      <c r="M146" s="55"/>
      <c r="N146" s="109"/>
    </row>
    <row r="147" spans="1:14" ht="11.25">
      <c r="A147" s="50"/>
      <c r="B147" s="51"/>
      <c r="C147" s="53"/>
      <c r="D147" s="53"/>
      <c r="E147" s="53"/>
      <c r="F147" s="53"/>
      <c r="G147" s="53"/>
      <c r="H147" s="53"/>
      <c r="I147" s="54"/>
      <c r="J147" s="54"/>
      <c r="K147" s="55"/>
      <c r="L147" s="55"/>
      <c r="M147" s="55"/>
      <c r="N147" s="109"/>
    </row>
    <row r="148" spans="1:14" ht="11.25">
      <c r="A148" s="50"/>
      <c r="B148" s="51"/>
      <c r="C148" s="53"/>
      <c r="D148" s="53"/>
      <c r="E148" s="53"/>
      <c r="F148" s="53"/>
      <c r="G148" s="53"/>
      <c r="H148" s="53"/>
      <c r="I148" s="54"/>
      <c r="J148" s="54"/>
      <c r="K148" s="55"/>
      <c r="L148" s="55"/>
      <c r="M148" s="55"/>
      <c r="N148" s="109"/>
    </row>
    <row r="149" spans="1:14" ht="12.75">
      <c r="A149" s="50"/>
      <c r="B149" s="51"/>
      <c r="C149" s="53"/>
      <c r="D149" s="53"/>
      <c r="E149" s="53"/>
      <c r="F149" s="53"/>
      <c r="G149" s="77">
        <f>Fy</f>
        <v>1468</v>
      </c>
      <c r="H149" s="78" t="s">
        <v>156</v>
      </c>
      <c r="I149" s="54"/>
      <c r="J149" s="54"/>
      <c r="K149" s="55"/>
      <c r="L149" s="55"/>
      <c r="M149" s="55"/>
      <c r="N149" s="109"/>
    </row>
    <row r="150" spans="1:14" ht="11.25">
      <c r="A150" s="50"/>
      <c r="B150" s="51"/>
      <c r="C150" s="53"/>
      <c r="D150" s="53"/>
      <c r="E150" s="53"/>
      <c r="F150" s="53"/>
      <c r="G150" s="53"/>
      <c r="H150" s="53"/>
      <c r="I150" s="54"/>
      <c r="J150" s="54"/>
      <c r="K150" s="55"/>
      <c r="L150" s="55"/>
      <c r="M150" s="55"/>
      <c r="N150" s="109"/>
    </row>
    <row r="151" spans="1:14" ht="12.75">
      <c r="A151" s="88"/>
      <c r="B151" s="73"/>
      <c r="C151" s="73"/>
      <c r="D151" s="73"/>
      <c r="E151" s="73"/>
      <c r="F151" s="73"/>
      <c r="G151" s="73"/>
      <c r="H151" s="73"/>
      <c r="I151" s="14"/>
      <c r="J151" s="14"/>
      <c r="K151" s="14"/>
      <c r="L151" s="14"/>
      <c r="M151" s="14"/>
      <c r="N151" s="89"/>
    </row>
    <row r="152" spans="1:14" ht="12.75">
      <c r="A152" s="88"/>
      <c r="B152" s="73"/>
      <c r="C152" s="73"/>
      <c r="D152" s="73"/>
      <c r="E152" s="71">
        <f>Fx</f>
        <v>100</v>
      </c>
      <c r="F152" s="14" t="s">
        <v>156</v>
      </c>
      <c r="G152" s="73"/>
      <c r="I152" s="70">
        <f>Mz</f>
        <v>800</v>
      </c>
      <c r="J152" s="14" t="s">
        <v>64</v>
      </c>
      <c r="K152" s="14"/>
      <c r="L152" s="14"/>
      <c r="M152" s="14"/>
      <c r="N152" s="89"/>
    </row>
    <row r="153" spans="1:14" ht="12.75">
      <c r="A153" s="88"/>
      <c r="B153" s="80">
        <f>hh</f>
        <v>200</v>
      </c>
      <c r="D153" s="73"/>
      <c r="G153" s="73"/>
      <c r="H153" s="73"/>
      <c r="I153" s="14"/>
      <c r="J153" s="14"/>
      <c r="K153" s="14"/>
      <c r="L153" s="14"/>
      <c r="M153" s="14"/>
      <c r="N153" s="89"/>
    </row>
    <row r="154" spans="1:14" ht="12.75">
      <c r="A154" s="88"/>
      <c r="B154" s="73"/>
      <c r="C154" s="73"/>
      <c r="D154" s="73"/>
      <c r="E154" s="73"/>
      <c r="F154" s="73"/>
      <c r="G154" s="73"/>
      <c r="H154" s="73"/>
      <c r="I154" s="14"/>
      <c r="J154" s="14"/>
      <c r="K154" s="14"/>
      <c r="L154" s="14"/>
      <c r="M154" s="14"/>
      <c r="N154" s="89"/>
    </row>
    <row r="155" spans="1:14" ht="12.75">
      <c r="A155" s="88"/>
      <c r="B155" s="73"/>
      <c r="C155" s="73"/>
      <c r="D155" s="73"/>
      <c r="E155" s="73"/>
      <c r="F155" s="73"/>
      <c r="G155" s="73"/>
      <c r="H155" s="73"/>
      <c r="I155" s="14"/>
      <c r="J155" s="14"/>
      <c r="K155" s="14"/>
      <c r="L155" s="14"/>
      <c r="M155" s="14"/>
      <c r="N155" s="89"/>
    </row>
    <row r="156" spans="1:14" ht="12.75">
      <c r="A156" s="88"/>
      <c r="B156" s="73"/>
      <c r="C156" s="73"/>
      <c r="D156" s="70" t="s">
        <v>139</v>
      </c>
      <c r="E156" s="73"/>
      <c r="F156" s="73"/>
      <c r="G156" s="73"/>
      <c r="H156" s="73"/>
      <c r="I156" s="14"/>
      <c r="J156" s="14"/>
      <c r="K156" s="14"/>
      <c r="L156" s="14"/>
      <c r="M156" s="14"/>
      <c r="N156" s="89"/>
    </row>
    <row r="157" spans="1:14" ht="12.75">
      <c r="A157" s="88"/>
      <c r="B157" s="73"/>
      <c r="C157" s="73"/>
      <c r="D157" s="73"/>
      <c r="E157" s="73"/>
      <c r="F157" s="73"/>
      <c r="G157" s="73"/>
      <c r="H157" s="73"/>
      <c r="I157" s="14"/>
      <c r="J157" s="14"/>
      <c r="K157" s="14"/>
      <c r="L157" s="14"/>
      <c r="M157" s="14"/>
      <c r="N157" s="89"/>
    </row>
    <row r="158" spans="1:14" ht="12.75">
      <c r="A158" s="88"/>
      <c r="B158" s="73" t="s">
        <v>138</v>
      </c>
      <c r="C158" s="73"/>
      <c r="D158" s="73"/>
      <c r="E158" s="73"/>
      <c r="F158" s="73"/>
      <c r="G158" s="73"/>
      <c r="H158" s="73"/>
      <c r="I158" s="110"/>
      <c r="J158" s="52" t="e">
        <f>G123*B*d/100</f>
        <v>#NAME?</v>
      </c>
      <c r="K158" s="14" t="s">
        <v>123</v>
      </c>
      <c r="L158" s="14"/>
      <c r="M158" s="14"/>
      <c r="N158" s="89"/>
    </row>
    <row r="159" spans="1:14" ht="12.75">
      <c r="A159" s="90"/>
      <c r="B159" s="80">
        <f>H</f>
        <v>1300</v>
      </c>
      <c r="C159" s="71"/>
      <c r="D159" s="70">
        <f>hw</f>
        <v>0</v>
      </c>
      <c r="E159" s="73"/>
      <c r="F159" s="73"/>
      <c r="G159" s="73"/>
      <c r="H159" s="73"/>
      <c r="I159" s="14"/>
      <c r="J159" s="14"/>
      <c r="K159" s="14"/>
      <c r="L159" s="14"/>
      <c r="M159" s="14"/>
      <c r="N159" s="89"/>
    </row>
    <row r="160" spans="1:14" ht="12.75">
      <c r="A160" s="88"/>
      <c r="B160" s="73"/>
      <c r="C160" s="73"/>
      <c r="D160" s="73"/>
      <c r="E160" s="73"/>
      <c r="F160" s="73"/>
      <c r="G160" s="73"/>
      <c r="H160" s="73"/>
      <c r="I160" s="14"/>
      <c r="J160" s="14"/>
      <c r="K160" s="14"/>
      <c r="L160" s="14"/>
      <c r="M160" s="14"/>
      <c r="N160" s="89"/>
    </row>
    <row r="161" spans="1:14" ht="12.75">
      <c r="A161" s="88"/>
      <c r="B161" s="73"/>
      <c r="C161" s="73"/>
      <c r="D161" s="73"/>
      <c r="E161" s="73"/>
      <c r="F161" s="73"/>
      <c r="G161" s="73"/>
      <c r="H161" s="73"/>
      <c r="I161" s="14"/>
      <c r="J161" s="14"/>
      <c r="K161" s="14"/>
      <c r="L161" s="14"/>
      <c r="M161" s="14"/>
      <c r="N161" s="89"/>
    </row>
    <row r="162" spans="1:14" ht="12.75">
      <c r="A162" s="88"/>
      <c r="B162" s="73"/>
      <c r="C162" s="73"/>
      <c r="D162" s="73"/>
      <c r="E162" s="73"/>
      <c r="F162" s="73"/>
      <c r="G162" s="73"/>
      <c r="H162" s="73"/>
      <c r="I162" s="14"/>
      <c r="J162" s="14"/>
      <c r="K162" s="14"/>
      <c r="L162" s="14"/>
      <c r="M162" s="14"/>
      <c r="N162" s="89"/>
    </row>
    <row r="163" spans="1:14" ht="12.75">
      <c r="A163" s="88"/>
      <c r="C163" s="80">
        <f>dd</f>
        <v>590</v>
      </c>
      <c r="D163" s="73"/>
      <c r="E163" s="73"/>
      <c r="F163" s="73"/>
      <c r="G163" s="73"/>
      <c r="H163" s="73"/>
      <c r="I163" s="14"/>
      <c r="J163" s="14"/>
      <c r="K163" s="110">
        <f>d</f>
        <v>520</v>
      </c>
      <c r="L163" s="14" t="s">
        <v>141</v>
      </c>
      <c r="M163" s="14"/>
      <c r="N163" s="89"/>
    </row>
    <row r="164" spans="1:14" ht="12.75">
      <c r="A164" s="88"/>
      <c r="B164" s="73"/>
      <c r="D164" s="73"/>
      <c r="E164" s="73"/>
      <c r="F164" s="73"/>
      <c r="G164" s="73"/>
      <c r="H164" s="73"/>
      <c r="I164" s="14"/>
      <c r="J164" s="14"/>
      <c r="K164" s="14"/>
      <c r="L164" s="14"/>
      <c r="M164" s="14"/>
      <c r="N164" s="89"/>
    </row>
    <row r="165" spans="1:14" ht="12.75">
      <c r="A165" s="88"/>
      <c r="B165" s="73"/>
      <c r="C165" s="73"/>
      <c r="D165" s="73"/>
      <c r="E165" s="73"/>
      <c r="F165" s="73"/>
      <c r="G165" s="73"/>
      <c r="H165" s="73"/>
      <c r="I165" s="14"/>
      <c r="J165" s="14"/>
      <c r="K165" s="14"/>
      <c r="L165" s="14"/>
      <c r="M165" s="14"/>
      <c r="N165" s="89"/>
    </row>
    <row r="166" spans="1:14" ht="12.75">
      <c r="A166" s="88"/>
      <c r="B166" s="73"/>
      <c r="C166" s="73"/>
      <c r="D166" s="73"/>
      <c r="E166" s="73"/>
      <c r="F166" s="71" t="s">
        <v>117</v>
      </c>
      <c r="G166" s="52">
        <f>L</f>
        <v>4340</v>
      </c>
      <c r="H166" s="73" t="s">
        <v>141</v>
      </c>
      <c r="I166" s="14"/>
      <c r="J166" s="14"/>
      <c r="K166" s="14"/>
      <c r="L166" s="14"/>
      <c r="M166" s="14"/>
      <c r="N166" s="89"/>
    </row>
    <row r="167" spans="1:14" ht="12.75">
      <c r="A167" s="88"/>
      <c r="B167" s="73"/>
      <c r="C167" s="73"/>
      <c r="D167" s="73"/>
      <c r="E167" s="73"/>
      <c r="I167" s="14"/>
      <c r="J167" s="14"/>
      <c r="K167" s="14"/>
      <c r="L167" s="14"/>
      <c r="M167" s="14"/>
      <c r="N167" s="89"/>
    </row>
    <row r="168" spans="1:14" ht="12.75">
      <c r="A168" s="88"/>
      <c r="B168" s="73"/>
      <c r="C168" s="110" t="s">
        <v>120</v>
      </c>
      <c r="D168" s="73" t="e">
        <f>K123*L*d/100</f>
        <v>#NAME?</v>
      </c>
      <c r="E168" s="73" t="s">
        <v>122</v>
      </c>
      <c r="F168" s="73"/>
      <c r="G168" s="73"/>
      <c r="H168" s="73"/>
      <c r="I168" s="14"/>
      <c r="J168" s="110" t="s">
        <v>120</v>
      </c>
      <c r="K168" s="14" t="e">
        <f>C123*B*d/100</f>
        <v>#NAME?</v>
      </c>
      <c r="L168" s="14" t="s">
        <v>121</v>
      </c>
      <c r="M168" s="14"/>
      <c r="N168" s="89"/>
    </row>
    <row r="169" spans="1:14" ht="12.75">
      <c r="A169" s="88"/>
      <c r="B169" s="73"/>
      <c r="C169" s="73"/>
      <c r="D169" s="73"/>
      <c r="E169" s="73"/>
      <c r="F169" s="73"/>
      <c r="G169" s="73"/>
      <c r="H169" s="73"/>
      <c r="I169" s="14"/>
      <c r="J169" s="14"/>
      <c r="K169" s="14"/>
      <c r="L169" s="14"/>
      <c r="M169" s="14"/>
      <c r="N169" s="89"/>
    </row>
    <row r="170" spans="1:14" ht="12.75">
      <c r="A170" s="88"/>
      <c r="B170" s="73"/>
      <c r="C170" s="73"/>
      <c r="D170" s="73"/>
      <c r="E170" s="73"/>
      <c r="F170" s="73"/>
      <c r="G170" s="73"/>
      <c r="H170" s="73"/>
      <c r="I170" s="14"/>
      <c r="J170" s="14"/>
      <c r="K170" s="14"/>
      <c r="L170" s="14"/>
      <c r="M170" s="14"/>
      <c r="N170" s="89"/>
    </row>
    <row r="171" spans="1:14" ht="12.75">
      <c r="A171" s="88"/>
      <c r="B171" s="73"/>
      <c r="C171" s="73"/>
      <c r="D171" s="73"/>
      <c r="E171" s="73"/>
      <c r="F171" s="73"/>
      <c r="G171" s="73"/>
      <c r="H171" s="73"/>
      <c r="I171" s="14"/>
      <c r="J171" s="14"/>
      <c r="K171" s="14"/>
      <c r="L171" s="14"/>
      <c r="M171" s="14"/>
      <c r="N171" s="89"/>
    </row>
    <row r="172" spans="1:14" ht="12.75">
      <c r="A172" s="88"/>
      <c r="B172" s="73"/>
      <c r="C172" s="73"/>
      <c r="D172" s="73"/>
      <c r="E172" s="73"/>
      <c r="F172" s="73"/>
      <c r="G172" s="73"/>
      <c r="H172" s="73"/>
      <c r="I172" s="14"/>
      <c r="J172" s="14"/>
      <c r="K172" s="14"/>
      <c r="L172" s="14"/>
      <c r="M172" s="14"/>
      <c r="N172" s="89"/>
    </row>
    <row r="173" spans="1:14" ht="12.75">
      <c r="A173" s="88"/>
      <c r="B173" s="73"/>
      <c r="C173" s="73"/>
      <c r="D173" s="73"/>
      <c r="E173" s="73"/>
      <c r="F173" s="73"/>
      <c r="G173" s="73"/>
      <c r="H173" s="73"/>
      <c r="I173" s="14"/>
      <c r="J173" s="14"/>
      <c r="K173" s="52" t="s">
        <v>119</v>
      </c>
      <c r="L173" s="14"/>
      <c r="M173" s="14"/>
      <c r="N173" s="89"/>
    </row>
    <row r="174" spans="1:14" ht="12.75">
      <c r="A174" s="88"/>
      <c r="B174" s="71" t="s">
        <v>142</v>
      </c>
      <c r="C174" s="80">
        <f>B</f>
        <v>3100</v>
      </c>
      <c r="D174" s="73"/>
      <c r="E174" s="73"/>
      <c r="F174" s="73"/>
      <c r="G174" s="73"/>
      <c r="H174" s="73"/>
      <c r="I174" s="14"/>
      <c r="J174" s="14"/>
      <c r="K174" s="14"/>
      <c r="L174" s="14"/>
      <c r="M174" s="14"/>
      <c r="N174" s="89"/>
    </row>
    <row r="175" spans="1:14" ht="12.75">
      <c r="A175" s="88"/>
      <c r="B175" s="73"/>
      <c r="C175" s="73"/>
      <c r="D175" s="73"/>
      <c r="F175" s="70">
        <f>y</f>
        <v>500</v>
      </c>
      <c r="G175" s="73"/>
      <c r="H175" s="73"/>
      <c r="I175" s="14"/>
      <c r="J175" s="14"/>
      <c r="K175" s="14"/>
      <c r="L175" s="14"/>
      <c r="M175" s="14"/>
      <c r="N175" s="89"/>
    </row>
    <row r="176" spans="1:14" ht="12.75">
      <c r="A176" s="88"/>
      <c r="B176" s="73"/>
      <c r="C176" s="73"/>
      <c r="D176" s="73"/>
      <c r="E176" s="73"/>
      <c r="F176" s="73"/>
      <c r="G176" s="73"/>
      <c r="H176" s="73"/>
      <c r="I176" s="14"/>
      <c r="J176" s="14"/>
      <c r="K176" s="14"/>
      <c r="L176" s="14"/>
      <c r="M176" s="14" t="s">
        <v>118</v>
      </c>
      <c r="N176" s="89"/>
    </row>
    <row r="177" spans="1:14" ht="12.75">
      <c r="A177" s="88"/>
      <c r="B177" s="73"/>
      <c r="C177" s="73"/>
      <c r="D177" s="73"/>
      <c r="E177" s="73"/>
      <c r="F177" s="73"/>
      <c r="G177" s="91"/>
      <c r="H177" s="73"/>
      <c r="I177" s="14"/>
      <c r="J177" s="14"/>
      <c r="K177" s="14"/>
      <c r="L177" s="14"/>
      <c r="M177" s="14"/>
      <c r="N177" s="89"/>
    </row>
    <row r="178" spans="1:14" ht="12.75">
      <c r="A178" s="88"/>
      <c r="B178" s="73"/>
      <c r="C178" s="73"/>
      <c r="D178" s="73"/>
      <c r="E178" s="73"/>
      <c r="F178" s="73"/>
      <c r="G178" s="80">
        <f>x</f>
        <v>500</v>
      </c>
      <c r="H178" s="73"/>
      <c r="I178" s="14"/>
      <c r="J178" s="14"/>
      <c r="K178" s="14"/>
      <c r="L178" s="14"/>
      <c r="M178" s="14"/>
      <c r="N178" s="89"/>
    </row>
    <row r="179" spans="1:14" ht="12.75">
      <c r="A179" s="88"/>
      <c r="B179" s="73"/>
      <c r="C179" s="73"/>
      <c r="D179" s="73"/>
      <c r="E179" s="73"/>
      <c r="F179" s="73"/>
      <c r="H179" s="73"/>
      <c r="I179" s="14"/>
      <c r="J179" s="14"/>
      <c r="K179" s="14"/>
      <c r="L179" s="14"/>
      <c r="M179" s="14"/>
      <c r="N179" s="89"/>
    </row>
    <row r="180" spans="1:14" ht="12.75">
      <c r="A180" s="88"/>
      <c r="B180" s="73"/>
      <c r="C180" s="73"/>
      <c r="D180" s="73"/>
      <c r="E180" s="73"/>
      <c r="F180" s="73"/>
      <c r="G180" s="73"/>
      <c r="H180" s="73"/>
      <c r="I180" s="14"/>
      <c r="J180" s="14"/>
      <c r="K180" s="14"/>
      <c r="L180" s="14"/>
      <c r="M180" s="14"/>
      <c r="N180" s="89"/>
    </row>
    <row r="181" spans="1:14" ht="12.75">
      <c r="A181" s="88"/>
      <c r="B181" s="73"/>
      <c r="C181" s="73"/>
      <c r="D181" s="73"/>
      <c r="E181" s="73"/>
      <c r="F181" s="73"/>
      <c r="G181" s="73"/>
      <c r="H181" s="73"/>
      <c r="I181" s="14"/>
      <c r="J181" s="14"/>
      <c r="K181" s="14"/>
      <c r="L181" s="14"/>
      <c r="M181" s="14"/>
      <c r="N181" s="89"/>
    </row>
    <row r="182" spans="1:14" ht="12.75">
      <c r="A182" s="88"/>
      <c r="B182" s="73"/>
      <c r="C182" s="73"/>
      <c r="D182" s="73"/>
      <c r="E182" s="73"/>
      <c r="F182" s="73"/>
      <c r="G182" s="73"/>
      <c r="H182" s="73"/>
      <c r="I182" s="14"/>
      <c r="J182" s="14"/>
      <c r="K182" s="14"/>
      <c r="L182" s="14"/>
      <c r="M182" s="14"/>
      <c r="N182" s="89"/>
    </row>
    <row r="183" spans="1:14" ht="12.75">
      <c r="A183" s="88"/>
      <c r="B183" s="73" t="s">
        <v>143</v>
      </c>
      <c r="C183" s="73"/>
      <c r="D183" s="73"/>
      <c r="E183" s="73"/>
      <c r="F183" s="73"/>
      <c r="G183" s="73"/>
      <c r="H183" s="73"/>
      <c r="I183" s="14"/>
      <c r="J183" s="14"/>
      <c r="K183" s="14"/>
      <c r="L183" s="14"/>
      <c r="M183" s="14"/>
      <c r="N183" s="89"/>
    </row>
    <row r="184" spans="1:14" ht="12.75">
      <c r="A184" s="88"/>
      <c r="B184" s="73"/>
      <c r="C184" s="73"/>
      <c r="D184" s="73"/>
      <c r="E184" s="73"/>
      <c r="F184" s="73"/>
      <c r="G184" s="73"/>
      <c r="H184" s="73"/>
      <c r="I184" s="14"/>
      <c r="J184" s="14"/>
      <c r="K184" s="14"/>
      <c r="L184" s="14"/>
      <c r="M184" s="14"/>
      <c r="N184" s="89"/>
    </row>
    <row r="185" spans="1:14" ht="12.75">
      <c r="A185" s="88"/>
      <c r="B185" s="73"/>
      <c r="C185" s="73"/>
      <c r="D185" s="73"/>
      <c r="E185" s="73"/>
      <c r="F185" s="73"/>
      <c r="G185" s="73"/>
      <c r="H185" s="73"/>
      <c r="I185" s="14"/>
      <c r="J185" s="14"/>
      <c r="K185" s="14"/>
      <c r="L185" s="14"/>
      <c r="M185" s="14"/>
      <c r="N185" s="89"/>
    </row>
    <row r="186" spans="1:14" ht="12.75">
      <c r="A186" s="88"/>
      <c r="B186" s="73"/>
      <c r="C186" s="73"/>
      <c r="D186" s="73"/>
      <c r="E186" s="73"/>
      <c r="F186" s="73"/>
      <c r="G186" s="73"/>
      <c r="H186" s="73"/>
      <c r="I186" s="14"/>
      <c r="J186" s="14"/>
      <c r="K186" s="14"/>
      <c r="L186" s="14"/>
      <c r="M186" s="14"/>
      <c r="N186" s="89"/>
    </row>
    <row r="187" spans="1:14" ht="12.75">
      <c r="A187" s="88"/>
      <c r="B187" s="73"/>
      <c r="C187" s="73"/>
      <c r="D187" s="73"/>
      <c r="E187" s="73"/>
      <c r="F187" s="73"/>
      <c r="G187" s="73"/>
      <c r="H187" s="73"/>
      <c r="I187" s="14"/>
      <c r="J187" s="14"/>
      <c r="K187" s="14"/>
      <c r="L187" s="14"/>
      <c r="M187" s="14"/>
      <c r="N187" s="89"/>
    </row>
    <row r="188" spans="1:14" ht="12.75">
      <c r="A188" s="88"/>
      <c r="B188" s="73"/>
      <c r="C188" s="73"/>
      <c r="D188" s="73"/>
      <c r="E188" s="73"/>
      <c r="F188" s="73"/>
      <c r="G188" s="73"/>
      <c r="H188" s="73"/>
      <c r="I188" s="14"/>
      <c r="J188" s="14"/>
      <c r="K188" s="14"/>
      <c r="L188" s="14"/>
      <c r="M188" s="14"/>
      <c r="N188" s="89"/>
    </row>
    <row r="189" spans="1:14" ht="12.75">
      <c r="A189" s="88"/>
      <c r="B189" s="73"/>
      <c r="C189" s="73"/>
      <c r="D189" s="73"/>
      <c r="E189" s="73"/>
      <c r="F189" s="73"/>
      <c r="G189" s="73"/>
      <c r="H189" s="73"/>
      <c r="I189" s="14"/>
      <c r="J189" s="14"/>
      <c r="K189" s="14"/>
      <c r="L189" s="14"/>
      <c r="M189" s="14"/>
      <c r="N189" s="89"/>
    </row>
    <row r="190" spans="1:14" ht="12.75">
      <c r="A190" s="88"/>
      <c r="B190" s="73"/>
      <c r="C190" s="73"/>
      <c r="D190" s="73"/>
      <c r="E190" s="73"/>
      <c r="F190" s="73"/>
      <c r="G190" s="73"/>
      <c r="H190" s="73"/>
      <c r="I190" s="14"/>
      <c r="J190" s="14"/>
      <c r="K190" s="14"/>
      <c r="L190" s="14"/>
      <c r="M190" s="14"/>
      <c r="N190" s="89"/>
    </row>
    <row r="191" spans="1:14" ht="12.75">
      <c r="A191" s="88"/>
      <c r="B191" s="73"/>
      <c r="C191" s="73"/>
      <c r="D191" s="73"/>
      <c r="E191" s="73"/>
      <c r="F191" s="73"/>
      <c r="G191" s="73"/>
      <c r="H191" s="73"/>
      <c r="I191" s="14"/>
      <c r="J191" s="14"/>
      <c r="K191" s="14"/>
      <c r="L191" s="14"/>
      <c r="M191" s="14"/>
      <c r="N191" s="89"/>
    </row>
    <row r="192" spans="1:14" ht="12.75">
      <c r="A192" s="88"/>
      <c r="B192" s="73"/>
      <c r="C192" s="73"/>
      <c r="D192" s="73"/>
      <c r="E192" s="73"/>
      <c r="F192" s="73"/>
      <c r="G192" s="73"/>
      <c r="H192" s="73"/>
      <c r="I192" s="14"/>
      <c r="J192" s="14"/>
      <c r="K192" s="14"/>
      <c r="L192" s="14"/>
      <c r="M192" s="14"/>
      <c r="N192" s="89"/>
    </row>
    <row r="193" spans="1:14" ht="12.75">
      <c r="A193" s="88"/>
      <c r="B193" s="73"/>
      <c r="C193" s="73"/>
      <c r="D193" s="73"/>
      <c r="E193" s="73"/>
      <c r="F193" s="73"/>
      <c r="G193" s="73"/>
      <c r="H193" s="73"/>
      <c r="I193" s="14"/>
      <c r="J193" s="14"/>
      <c r="K193" s="14"/>
      <c r="L193" s="14"/>
      <c r="M193" s="14"/>
      <c r="N193" s="89"/>
    </row>
    <row r="194" spans="1:14" ht="12.75">
      <c r="A194" s="88"/>
      <c r="B194" s="73"/>
      <c r="C194" s="73"/>
      <c r="D194" s="73"/>
      <c r="E194" s="73"/>
      <c r="F194" s="73"/>
      <c r="G194" s="73"/>
      <c r="H194" s="73"/>
      <c r="I194" s="14"/>
      <c r="J194" s="14"/>
      <c r="K194" s="14"/>
      <c r="L194" s="14"/>
      <c r="M194" s="14"/>
      <c r="N194" s="89"/>
    </row>
    <row r="195" spans="1:14" ht="12.75">
      <c r="A195" s="88"/>
      <c r="B195" s="73"/>
      <c r="C195" s="73"/>
      <c r="D195" s="73"/>
      <c r="E195" s="73"/>
      <c r="F195" s="73"/>
      <c r="G195" s="73"/>
      <c r="H195" s="73"/>
      <c r="I195" s="14"/>
      <c r="J195" s="14"/>
      <c r="K195" s="14"/>
      <c r="L195" s="14"/>
      <c r="M195" s="14"/>
      <c r="N195" s="89"/>
    </row>
    <row r="196" spans="1:14" ht="13.5" thickBot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</row>
    <row r="197" spans="1:14" ht="12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</row>
    <row r="198" spans="1:14" ht="12.75">
      <c r="A198" s="73"/>
      <c r="B198" s="73"/>
      <c r="C198" s="73"/>
      <c r="D198" s="73"/>
      <c r="E198" s="73"/>
      <c r="F198" s="73"/>
      <c r="G198" s="73"/>
      <c r="H198" s="73"/>
      <c r="I198" s="14"/>
      <c r="J198" s="14"/>
      <c r="K198" s="14"/>
      <c r="L198" s="14"/>
      <c r="M198" s="14"/>
      <c r="N198" s="73"/>
    </row>
    <row r="199" spans="1:14" ht="12.75">
      <c r="A199" s="73"/>
      <c r="B199" s="73"/>
      <c r="C199" s="73"/>
      <c r="D199" s="73"/>
      <c r="E199" s="73"/>
      <c r="F199" s="73"/>
      <c r="G199" s="73"/>
      <c r="H199" s="73"/>
      <c r="I199" s="14"/>
      <c r="J199" s="14"/>
      <c r="K199" s="14"/>
      <c r="L199" s="14"/>
      <c r="M199" s="14"/>
      <c r="N199" s="73"/>
    </row>
    <row r="200" spans="1:14" ht="12.75">
      <c r="A200" s="73"/>
      <c r="B200" s="73"/>
      <c r="C200" s="73"/>
      <c r="D200" s="73"/>
      <c r="E200" s="73"/>
      <c r="F200" s="73"/>
      <c r="G200" s="73"/>
      <c r="H200" s="73"/>
      <c r="I200" s="14"/>
      <c r="J200" s="14"/>
      <c r="K200" s="14"/>
      <c r="L200" s="14"/>
      <c r="M200" s="14"/>
      <c r="N200" s="73"/>
    </row>
    <row r="201" spans="1:14" ht="12.75">
      <c r="A201" s="73"/>
      <c r="B201" s="73"/>
      <c r="C201" s="73"/>
      <c r="D201" s="73"/>
      <c r="E201" s="73"/>
      <c r="F201" s="73"/>
      <c r="G201" s="73"/>
      <c r="H201" s="73"/>
      <c r="I201" s="14"/>
      <c r="J201" s="14"/>
      <c r="K201" s="14"/>
      <c r="L201" s="14"/>
      <c r="M201" s="14"/>
      <c r="N201" s="73"/>
    </row>
    <row r="202" spans="1:14" ht="12.75">
      <c r="A202" s="73"/>
      <c r="B202" s="73"/>
      <c r="C202" s="73"/>
      <c r="D202" s="73"/>
      <c r="E202" s="73"/>
      <c r="F202" s="73"/>
      <c r="G202" s="73"/>
      <c r="H202" s="73"/>
      <c r="I202" s="14"/>
      <c r="J202" s="14"/>
      <c r="K202" s="14"/>
      <c r="L202" s="14"/>
      <c r="M202" s="14"/>
      <c r="N202" s="73"/>
    </row>
    <row r="203" spans="1:14" ht="12.75">
      <c r="A203" s="73"/>
      <c r="B203" s="73"/>
      <c r="C203" s="73"/>
      <c r="D203" s="73"/>
      <c r="E203" s="73"/>
      <c r="F203" s="73"/>
      <c r="G203" s="73"/>
      <c r="H203" s="73"/>
      <c r="I203" s="14"/>
      <c r="J203" s="14"/>
      <c r="K203" s="14"/>
      <c r="L203" s="14"/>
      <c r="M203" s="14"/>
      <c r="N203" s="73"/>
    </row>
    <row r="204" spans="1:14" ht="12.75">
      <c r="A204" s="73"/>
      <c r="B204" s="73"/>
      <c r="C204" s="73"/>
      <c r="D204" s="73"/>
      <c r="E204" s="73"/>
      <c r="F204" s="73"/>
      <c r="G204" s="73"/>
      <c r="H204" s="73"/>
      <c r="I204" s="14"/>
      <c r="J204" s="14"/>
      <c r="K204" s="14"/>
      <c r="L204" s="14"/>
      <c r="M204" s="14"/>
      <c r="N204" s="73"/>
    </row>
    <row r="205" spans="1:14" ht="12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6" spans="1:14" ht="12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</row>
    <row r="207" spans="1:14" ht="12.75">
      <c r="A207" s="7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73"/>
    </row>
    <row r="208" spans="1:14" ht="12.75">
      <c r="A208" s="7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73"/>
    </row>
    <row r="209" spans="1:14" ht="12.75">
      <c r="A209" s="7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73"/>
    </row>
    <row r="210" spans="1:14" ht="12.75">
      <c r="A210" s="7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73"/>
    </row>
    <row r="211" spans="1:14" ht="12.75">
      <c r="A211" s="7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73"/>
    </row>
    <row r="212" spans="1:14" ht="12.75">
      <c r="A212" s="7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73"/>
    </row>
    <row r="213" spans="1:14" ht="12.75">
      <c r="A213" s="7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73"/>
    </row>
    <row r="214" spans="1:14" ht="12.75">
      <c r="A214" s="7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73"/>
    </row>
    <row r="215" spans="1:14" ht="12.75">
      <c r="A215" s="7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73"/>
    </row>
    <row r="216" spans="1:14" ht="11.25">
      <c r="A216" s="8"/>
      <c r="N216" s="8"/>
    </row>
    <row r="217" spans="1:14" ht="11.25">
      <c r="A217" s="8"/>
      <c r="N217" s="8"/>
    </row>
    <row r="218" spans="1:14" ht="11.25">
      <c r="A218" s="8"/>
      <c r="N218" s="8"/>
    </row>
    <row r="219" spans="1:14" ht="11.25">
      <c r="A219" s="8"/>
      <c r="N219" s="8"/>
    </row>
    <row r="220" spans="1:14" ht="11.25">
      <c r="A220" s="8"/>
      <c r="N220" s="8"/>
    </row>
    <row r="221" spans="1:14" ht="11.25">
      <c r="A221" s="8"/>
      <c r="N221" s="8"/>
    </row>
    <row r="222" spans="1:14" ht="11.25">
      <c r="A222" s="8"/>
      <c r="N222" s="8"/>
    </row>
    <row r="223" spans="1:14" ht="11.25">
      <c r="A223" s="8"/>
      <c r="N223" s="8"/>
    </row>
    <row r="224" spans="1:14" ht="11.25">
      <c r="A224" s="8"/>
      <c r="N224" s="8"/>
    </row>
    <row r="225" spans="1:14" ht="11.25">
      <c r="A225" s="8"/>
      <c r="N225" s="8"/>
    </row>
    <row r="226" spans="1:14" ht="11.25">
      <c r="A226" s="8"/>
      <c r="N226" s="8"/>
    </row>
    <row r="227" spans="1:14" ht="11.25">
      <c r="A227" s="8"/>
      <c r="N227" s="8"/>
    </row>
    <row r="228" spans="1:14" ht="11.25">
      <c r="A228" s="8"/>
      <c r="N228" s="8"/>
    </row>
    <row r="229" spans="1:14" ht="11.25">
      <c r="A229" s="8"/>
      <c r="N229" s="8"/>
    </row>
    <row r="230" spans="1:14" ht="11.25">
      <c r="A230" s="8"/>
      <c r="N230" s="8"/>
    </row>
    <row r="231" spans="1:14" ht="11.25">
      <c r="A231" s="8"/>
      <c r="N231" s="8"/>
    </row>
    <row r="232" spans="1:14" ht="11.25">
      <c r="A232" s="8"/>
      <c r="N232" s="8"/>
    </row>
    <row r="233" spans="1:14" ht="11.25">
      <c r="A233" s="8"/>
      <c r="N233" s="8"/>
    </row>
    <row r="234" spans="1:14" ht="11.25">
      <c r="A234" s="8"/>
      <c r="N234" s="8"/>
    </row>
    <row r="235" spans="1:14" ht="11.25">
      <c r="A235" s="8"/>
      <c r="N235" s="8"/>
    </row>
    <row r="236" spans="1:14" ht="11.25">
      <c r="A236" s="8"/>
      <c r="N236" s="8"/>
    </row>
    <row r="237" spans="1:14" ht="11.25">
      <c r="A237" s="8"/>
      <c r="N237" s="8"/>
    </row>
    <row r="238" spans="1:14" ht="11.25">
      <c r="A238" s="8"/>
      <c r="N238" s="8"/>
    </row>
    <row r="239" spans="1:14" ht="11.25">
      <c r="A239" s="8"/>
      <c r="N239" s="8"/>
    </row>
    <row r="240" spans="1:14" ht="11.25">
      <c r="A240" s="8"/>
      <c r="N240" s="8"/>
    </row>
    <row r="241" spans="1:14" ht="11.25">
      <c r="A241" s="8"/>
      <c r="N241" s="8"/>
    </row>
    <row r="242" spans="1:14" ht="11.25">
      <c r="A242" s="8"/>
      <c r="N242" s="8"/>
    </row>
    <row r="243" spans="1:14" ht="11.25">
      <c r="A243" s="8"/>
      <c r="N243" s="8"/>
    </row>
    <row r="244" spans="1:14" ht="11.25">
      <c r="A244" s="8"/>
      <c r="N244" s="8"/>
    </row>
    <row r="245" spans="1:14" ht="11.25">
      <c r="A245" s="8"/>
      <c r="N245" s="8"/>
    </row>
    <row r="246" spans="1:14" ht="11.25">
      <c r="A246" s="8"/>
      <c r="N246" s="8"/>
    </row>
    <row r="247" spans="1:14" ht="11.25">
      <c r="A247" s="8"/>
      <c r="N247" s="8"/>
    </row>
    <row r="248" spans="1:14" ht="11.25">
      <c r="A248" s="8"/>
      <c r="N248" s="8"/>
    </row>
    <row r="249" spans="1:14" ht="11.25">
      <c r="A249" s="8"/>
      <c r="N249" s="8"/>
    </row>
    <row r="250" spans="1:14" ht="11.25">
      <c r="A250" s="8"/>
      <c r="N250" s="8"/>
    </row>
    <row r="251" spans="1:14" ht="11.25">
      <c r="A251" s="8"/>
      <c r="N251" s="8"/>
    </row>
    <row r="252" spans="1:14" ht="11.25">
      <c r="A252" s="8"/>
      <c r="N252" s="8"/>
    </row>
    <row r="253" spans="1:14" ht="11.25">
      <c r="A253" s="8"/>
      <c r="N253" s="8"/>
    </row>
    <row r="254" spans="1:14" ht="11.25">
      <c r="A254" s="8"/>
      <c r="N254" s="8"/>
    </row>
    <row r="255" spans="1:14" ht="11.25">
      <c r="A255" s="8"/>
      <c r="N255" s="8"/>
    </row>
    <row r="256" spans="1:14" ht="11.25">
      <c r="A256" s="8"/>
      <c r="N256" s="8"/>
    </row>
    <row r="257" spans="1:14" ht="11.25">
      <c r="A257" s="8"/>
      <c r="N257" s="8"/>
    </row>
    <row r="258" spans="1:14" ht="11.25">
      <c r="A258" s="8"/>
      <c r="N258" s="8"/>
    </row>
    <row r="259" spans="1:14" ht="11.25">
      <c r="A259" s="8"/>
      <c r="N259" s="8"/>
    </row>
    <row r="260" spans="1:14" ht="11.25">
      <c r="A260" s="8"/>
      <c r="N260" s="8"/>
    </row>
    <row r="261" spans="1:14" ht="11.25">
      <c r="A261" s="8"/>
      <c r="N261" s="8"/>
    </row>
    <row r="262" spans="1:14" ht="11.25">
      <c r="A262" s="8"/>
      <c r="N262" s="8"/>
    </row>
    <row r="263" spans="1:14" ht="11.25">
      <c r="A263" s="8"/>
      <c r="N263" s="8"/>
    </row>
  </sheetData>
  <sheetProtection password="8A15" sheet="1" objects="1" scenarios="1"/>
  <mergeCells count="211">
    <mergeCell ref="A138:B139"/>
    <mergeCell ref="C138:H139"/>
    <mergeCell ref="I138:J138"/>
    <mergeCell ref="K138:M138"/>
    <mergeCell ref="I139:J139"/>
    <mergeCell ref="K139:M139"/>
    <mergeCell ref="L35:M35"/>
    <mergeCell ref="B109:C109"/>
    <mergeCell ref="D109:E109"/>
    <mergeCell ref="B40:C40"/>
    <mergeCell ref="B36:G36"/>
    <mergeCell ref="J97:K97"/>
    <mergeCell ref="H39:J39"/>
    <mergeCell ref="B98:C98"/>
    <mergeCell ref="F109:G109"/>
    <mergeCell ref="B80:C80"/>
    <mergeCell ref="O36:P36"/>
    <mergeCell ref="O37:P37"/>
    <mergeCell ref="I137:J137"/>
    <mergeCell ref="K137:M137"/>
    <mergeCell ref="N137:N138"/>
    <mergeCell ref="J61:K61"/>
    <mergeCell ref="J62:K62"/>
    <mergeCell ref="J63:K63"/>
    <mergeCell ref="J64:K64"/>
    <mergeCell ref="H109:I109"/>
    <mergeCell ref="H98:I98"/>
    <mergeCell ref="B96:C96"/>
    <mergeCell ref="D98:E98"/>
    <mergeCell ref="F98:G98"/>
    <mergeCell ref="D97:E97"/>
    <mergeCell ref="H97:I97"/>
    <mergeCell ref="J98:K98"/>
    <mergeCell ref="K71:M71"/>
    <mergeCell ref="K72:M72"/>
    <mergeCell ref="A136:H137"/>
    <mergeCell ref="I136:J136"/>
    <mergeCell ref="K136:M136"/>
    <mergeCell ref="B104:C106"/>
    <mergeCell ref="E84:G84"/>
    <mergeCell ref="D95:G95"/>
    <mergeCell ref="B95:C95"/>
    <mergeCell ref="N70:N71"/>
    <mergeCell ref="A69:H70"/>
    <mergeCell ref="C71:H72"/>
    <mergeCell ref="B34:M34"/>
    <mergeCell ref="K69:M69"/>
    <mergeCell ref="K70:M70"/>
    <mergeCell ref="I69:J69"/>
    <mergeCell ref="I70:J70"/>
    <mergeCell ref="J59:K59"/>
    <mergeCell ref="J60:K60"/>
    <mergeCell ref="F64:G64"/>
    <mergeCell ref="H63:I63"/>
    <mergeCell ref="H64:I64"/>
    <mergeCell ref="J58:K58"/>
    <mergeCell ref="F60:G60"/>
    <mergeCell ref="F61:G61"/>
    <mergeCell ref="F62:G62"/>
    <mergeCell ref="H62:I62"/>
    <mergeCell ref="F63:G63"/>
    <mergeCell ref="D61:E61"/>
    <mergeCell ref="H59:I59"/>
    <mergeCell ref="H61:I61"/>
    <mergeCell ref="D59:E59"/>
    <mergeCell ref="H58:I58"/>
    <mergeCell ref="H60:I60"/>
    <mergeCell ref="F59:G59"/>
    <mergeCell ref="F58:G58"/>
    <mergeCell ref="B21:E21"/>
    <mergeCell ref="E50:H50"/>
    <mergeCell ref="H32:J32"/>
    <mergeCell ref="F32:G32"/>
    <mergeCell ref="B46:I46"/>
    <mergeCell ref="G42:H43"/>
    <mergeCell ref="B47:D47"/>
    <mergeCell ref="B50:D50"/>
    <mergeCell ref="B39:C39"/>
    <mergeCell ref="D39:E39"/>
    <mergeCell ref="H96:I96"/>
    <mergeCell ref="E7:E8"/>
    <mergeCell ref="B7:D7"/>
    <mergeCell ref="B28:C28"/>
    <mergeCell ref="B29:C29"/>
    <mergeCell ref="B25:F25"/>
    <mergeCell ref="D20:E20"/>
    <mergeCell ref="B17:E17"/>
    <mergeCell ref="B14:E14"/>
    <mergeCell ref="B19:E19"/>
    <mergeCell ref="B31:C31"/>
    <mergeCell ref="B32:C32"/>
    <mergeCell ref="D62:E62"/>
    <mergeCell ref="D63:E63"/>
    <mergeCell ref="B59:C59"/>
    <mergeCell ref="E47:H47"/>
    <mergeCell ref="E48:H48"/>
    <mergeCell ref="B35:G35"/>
    <mergeCell ref="B57:K57"/>
    <mergeCell ref="D60:E60"/>
    <mergeCell ref="D66:E66"/>
    <mergeCell ref="F97:G97"/>
    <mergeCell ref="B90:D92"/>
    <mergeCell ref="B85:D87"/>
    <mergeCell ref="B84:D84"/>
    <mergeCell ref="D96:E96"/>
    <mergeCell ref="H66:I66"/>
    <mergeCell ref="K77:L77"/>
    <mergeCell ref="I71:J71"/>
    <mergeCell ref="I72:J72"/>
    <mergeCell ref="B103:C103"/>
    <mergeCell ref="F65:G65"/>
    <mergeCell ref="F66:G66"/>
    <mergeCell ref="G77:H77"/>
    <mergeCell ref="H65:I65"/>
    <mergeCell ref="D103:F103"/>
    <mergeCell ref="N2:N3"/>
    <mergeCell ref="E83:G83"/>
    <mergeCell ref="B83:D83"/>
    <mergeCell ref="B97:C97"/>
    <mergeCell ref="A1:H2"/>
    <mergeCell ref="D31:E31"/>
    <mergeCell ref="D32:E32"/>
    <mergeCell ref="B77:C77"/>
    <mergeCell ref="A71:B72"/>
    <mergeCell ref="B49:D49"/>
    <mergeCell ref="I1:J1"/>
    <mergeCell ref="K1:M1"/>
    <mergeCell ref="I2:J2"/>
    <mergeCell ref="K2:M2"/>
    <mergeCell ref="D30:E30"/>
    <mergeCell ref="B27:M27"/>
    <mergeCell ref="D28:E28"/>
    <mergeCell ref="B30:C30"/>
    <mergeCell ref="F28:G28"/>
    <mergeCell ref="D22:E22"/>
    <mergeCell ref="K32:M32"/>
    <mergeCell ref="F39:G39"/>
    <mergeCell ref="D64:E64"/>
    <mergeCell ref="J96:K96"/>
    <mergeCell ref="F96:G96"/>
    <mergeCell ref="D65:E65"/>
    <mergeCell ref="B48:D48"/>
    <mergeCell ref="B58:C58"/>
    <mergeCell ref="D58:E58"/>
    <mergeCell ref="E49:H49"/>
    <mergeCell ref="B20:C20"/>
    <mergeCell ref="B22:C22"/>
    <mergeCell ref="B23:E23"/>
    <mergeCell ref="K31:M31"/>
    <mergeCell ref="D24:E24"/>
    <mergeCell ref="B24:C24"/>
    <mergeCell ref="F30:G30"/>
    <mergeCell ref="F31:G31"/>
    <mergeCell ref="H31:J31"/>
    <mergeCell ref="H28:J28"/>
    <mergeCell ref="K28:M28"/>
    <mergeCell ref="K30:M30"/>
    <mergeCell ref="H30:J30"/>
    <mergeCell ref="K3:M3"/>
    <mergeCell ref="I4:J4"/>
    <mergeCell ref="K4:M4"/>
    <mergeCell ref="B6:M6"/>
    <mergeCell ref="A3:B4"/>
    <mergeCell ref="C3:H4"/>
    <mergeCell ref="I3:J3"/>
    <mergeCell ref="B38:M38"/>
    <mergeCell ref="B41:C41"/>
    <mergeCell ref="D40:E40"/>
    <mergeCell ref="F40:G40"/>
    <mergeCell ref="F41:G41"/>
    <mergeCell ref="D41:E41"/>
    <mergeCell ref="A123:B123"/>
    <mergeCell ref="C123:F123"/>
    <mergeCell ref="G123:J123"/>
    <mergeCell ref="H108:I108"/>
    <mergeCell ref="C118:F118"/>
    <mergeCell ref="G118:J118"/>
    <mergeCell ref="A121:B121"/>
    <mergeCell ref="A122:B122"/>
    <mergeCell ref="J109:K109"/>
    <mergeCell ref="J108:K108"/>
    <mergeCell ref="K123:N123"/>
    <mergeCell ref="B108:C108"/>
    <mergeCell ref="B107:C107"/>
    <mergeCell ref="D107:E107"/>
    <mergeCell ref="I117:N117"/>
    <mergeCell ref="F107:G107"/>
    <mergeCell ref="H107:I107"/>
    <mergeCell ref="J107:K107"/>
    <mergeCell ref="D108:E108"/>
    <mergeCell ref="F108:G108"/>
    <mergeCell ref="K118:N118"/>
    <mergeCell ref="C117:H117"/>
    <mergeCell ref="A119:B119"/>
    <mergeCell ref="A120:B120"/>
    <mergeCell ref="O108:P108"/>
    <mergeCell ref="K41:M41"/>
    <mergeCell ref="D105:I105"/>
    <mergeCell ref="D104:I104"/>
    <mergeCell ref="J65:K65"/>
    <mergeCell ref="J66:K66"/>
    <mergeCell ref="I35:J35"/>
    <mergeCell ref="K39:M39"/>
    <mergeCell ref="K40:M40"/>
    <mergeCell ref="H40:J40"/>
    <mergeCell ref="H41:J41"/>
    <mergeCell ref="M104:M106"/>
    <mergeCell ref="K104:L106"/>
    <mergeCell ref="D106:I106"/>
    <mergeCell ref="L36:M36"/>
    <mergeCell ref="I36:J36"/>
  </mergeCells>
  <dataValidations count="1">
    <dataValidation type="decimal" operator="greaterThanOrEqual" allowBlank="1" showInputMessage="1" showErrorMessage="1" error="Minimum cover = 70mm, Input D such that D&gt;=d+70" sqref="J43">
      <formula1>J42+70</formula1>
    </dataValidation>
  </dataValidations>
  <printOptions horizontalCentered="1" verticalCentered="1"/>
  <pageMargins left="0.7480314960629921" right="0.35433070866141736" top="0.3937007874015748" bottom="0.3937007874015748" header="0.2362204724409449" footer="0.5118110236220472"/>
  <pageSetup horizontalDpi="360" verticalDpi="360" orientation="portrait" paperSize="9" r:id="rId8"/>
  <headerFooter alignWithMargins="0">
    <oddHeader>&amp;CAPPENDIX A&amp;RDetailed Calculation Sheet &amp;P</oddHeader>
  </headerFooter>
  <drawing r:id="rId7"/>
  <legacyDrawing r:id="rId6"/>
  <oleObjects>
    <oleObject progId="Equation.3" shapeId="1411522" r:id="rId1"/>
    <oleObject progId="Equation.3" shapeId="2244330" r:id="rId2"/>
    <oleObject progId="Equation.3" shapeId="2637617" r:id="rId3"/>
    <oleObject progId="Equation.3" shapeId="497608" r:id="rId4"/>
    <oleObject progId="Equation.3" shapeId="546228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129"/>
  <sheetViews>
    <sheetView showGridLines="0" zoomScaleSheetLayoutView="100" zoomScalePageLayoutView="0" workbookViewId="0" topLeftCell="A79">
      <selection activeCell="D21" sqref="D21:E21"/>
    </sheetView>
  </sheetViews>
  <sheetFormatPr defaultColWidth="9.140625" defaultRowHeight="12.75"/>
  <cols>
    <col min="1" max="1" width="6.28125" style="8" customWidth="1"/>
    <col min="2" max="12" width="6.28125" style="1" customWidth="1"/>
    <col min="13" max="14" width="6.28125" style="8" customWidth="1"/>
    <col min="15" max="15" width="6.28125" style="1" customWidth="1"/>
    <col min="16" max="27" width="4.7109375" style="1" customWidth="1"/>
    <col min="28" max="16384" width="9.140625" style="1" customWidth="1"/>
  </cols>
  <sheetData>
    <row r="1" spans="1:14" ht="11.25" customHeight="1">
      <c r="A1" s="278" t="s">
        <v>124</v>
      </c>
      <c r="B1" s="279"/>
      <c r="C1" s="279"/>
      <c r="D1" s="279"/>
      <c r="E1" s="279"/>
      <c r="F1" s="279"/>
      <c r="G1" s="279"/>
      <c r="H1" s="280"/>
      <c r="I1" s="284" t="s">
        <v>3</v>
      </c>
      <c r="J1" s="285"/>
      <c r="K1" s="196" t="str">
        <f>'Detailed Calculations'!K1:M1</f>
        <v>Design</v>
      </c>
      <c r="L1" s="197"/>
      <c r="M1" s="197"/>
      <c r="N1" s="123" t="s">
        <v>2</v>
      </c>
    </row>
    <row r="2" spans="1:14" ht="12" customHeight="1" thickBot="1">
      <c r="A2" s="281"/>
      <c r="B2" s="282"/>
      <c r="C2" s="282"/>
      <c r="D2" s="282"/>
      <c r="E2" s="282"/>
      <c r="F2" s="282"/>
      <c r="G2" s="282"/>
      <c r="H2" s="283"/>
      <c r="I2" s="294" t="s">
        <v>1</v>
      </c>
      <c r="J2" s="295"/>
      <c r="K2" s="167">
        <f>'Detailed Calculations'!K2:M2</f>
        <v>0</v>
      </c>
      <c r="L2" s="168"/>
      <c r="M2" s="169"/>
      <c r="N2" s="205" t="s">
        <v>30</v>
      </c>
    </row>
    <row r="3" spans="1:14" ht="12" thickBot="1">
      <c r="A3" s="288" t="s">
        <v>0</v>
      </c>
      <c r="B3" s="289"/>
      <c r="C3" s="290" t="str">
        <f>'Detailed Calculations'!C3:H4</f>
        <v>Verification example from [Nawy, P.584]</v>
      </c>
      <c r="D3" s="290"/>
      <c r="E3" s="290"/>
      <c r="F3" s="290"/>
      <c r="G3" s="290"/>
      <c r="H3" s="291"/>
      <c r="I3" s="294" t="s">
        <v>4</v>
      </c>
      <c r="J3" s="295"/>
      <c r="K3" s="167" t="str">
        <f>'Detailed Calculations'!K3:M3</f>
        <v>Test1</v>
      </c>
      <c r="L3" s="168"/>
      <c r="M3" s="169"/>
      <c r="N3" s="206"/>
    </row>
    <row r="4" spans="1:14" ht="13.5" customHeight="1" thickBot="1">
      <c r="A4" s="216"/>
      <c r="B4" s="217"/>
      <c r="C4" s="292"/>
      <c r="D4" s="292"/>
      <c r="E4" s="292"/>
      <c r="F4" s="292"/>
      <c r="G4" s="292"/>
      <c r="H4" s="293"/>
      <c r="I4" s="296" t="s">
        <v>5</v>
      </c>
      <c r="J4" s="297"/>
      <c r="K4" s="172" t="str">
        <f>'Detailed Calculations'!K4:M4</f>
        <v>Test2</v>
      </c>
      <c r="L4" s="173"/>
      <c r="M4" s="174"/>
      <c r="N4" s="124"/>
    </row>
    <row r="5" spans="1:14" ht="11.25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3"/>
    </row>
    <row r="6" spans="1:14" ht="12.75">
      <c r="A6" s="2"/>
      <c r="B6" s="175" t="s">
        <v>14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3"/>
    </row>
    <row r="7" spans="1:14" ht="12" customHeight="1">
      <c r="A7" s="2"/>
      <c r="B7" s="189" t="s">
        <v>9</v>
      </c>
      <c r="C7" s="189"/>
      <c r="D7" s="189"/>
      <c r="E7" s="220" t="s">
        <v>15</v>
      </c>
      <c r="F7" s="189" t="s">
        <v>75</v>
      </c>
      <c r="G7" s="189"/>
      <c r="H7" s="189"/>
      <c r="I7" s="189"/>
      <c r="J7" s="298" t="s">
        <v>16</v>
      </c>
      <c r="K7" s="298"/>
      <c r="L7" s="298"/>
      <c r="M7" s="299"/>
      <c r="N7" s="3"/>
    </row>
    <row r="8" spans="1:14" ht="11.25">
      <c r="A8" s="2"/>
      <c r="B8" s="4"/>
      <c r="C8" s="57" t="s">
        <v>107</v>
      </c>
      <c r="D8" s="57" t="s">
        <v>108</v>
      </c>
      <c r="E8" s="220"/>
      <c r="F8" s="188" t="s">
        <v>149</v>
      </c>
      <c r="G8" s="188"/>
      <c r="H8" s="300">
        <f>fc</f>
        <v>27.6</v>
      </c>
      <c r="I8" s="300"/>
      <c r="J8" s="32" t="s">
        <v>126</v>
      </c>
      <c r="K8" s="68">
        <f>H</f>
        <v>1300</v>
      </c>
      <c r="L8" s="32" t="s">
        <v>128</v>
      </c>
      <c r="M8" s="68">
        <f>hh</f>
        <v>200</v>
      </c>
      <c r="N8" s="3"/>
    </row>
    <row r="9" spans="1:14" ht="11.25">
      <c r="A9" s="2"/>
      <c r="B9" s="12" t="s">
        <v>7</v>
      </c>
      <c r="C9" s="67">
        <f>'Detailed Calculations'!C9</f>
        <v>0</v>
      </c>
      <c r="D9" s="67">
        <f>'Detailed Calculations'!D9</f>
        <v>800</v>
      </c>
      <c r="E9" s="67">
        <f>'Detailed Calculations'!E9</f>
        <v>0</v>
      </c>
      <c r="F9" s="189" t="s">
        <v>77</v>
      </c>
      <c r="G9" s="189"/>
      <c r="H9" s="189"/>
      <c r="I9" s="189"/>
      <c r="J9" s="85" t="s">
        <v>127</v>
      </c>
      <c r="K9" s="68">
        <f>hw</f>
        <v>0</v>
      </c>
      <c r="L9" s="85" t="s">
        <v>10</v>
      </c>
      <c r="M9" s="68">
        <f>s</f>
        <v>1.4</v>
      </c>
      <c r="N9" s="3"/>
    </row>
    <row r="10" spans="1:14" ht="11.25">
      <c r="A10" s="2"/>
      <c r="B10" s="12" t="s">
        <v>8</v>
      </c>
      <c r="C10" s="67">
        <f>'Detailed Calculations'!C10</f>
        <v>0</v>
      </c>
      <c r="D10" s="67">
        <f>'Detailed Calculations'!D10</f>
        <v>668</v>
      </c>
      <c r="E10" s="67">
        <f>'Detailed Calculations'!E10</f>
        <v>800</v>
      </c>
      <c r="F10" s="188" t="s">
        <v>125</v>
      </c>
      <c r="G10" s="188"/>
      <c r="H10" s="300">
        <f>fyy</f>
        <v>414</v>
      </c>
      <c r="I10" s="300"/>
      <c r="J10" s="189" t="s">
        <v>32</v>
      </c>
      <c r="K10" s="189"/>
      <c r="L10" s="189"/>
      <c r="M10" s="189"/>
      <c r="N10" s="3"/>
    </row>
    <row r="11" spans="1:14" ht="11.25">
      <c r="A11" s="2"/>
      <c r="B11" s="12" t="s">
        <v>6</v>
      </c>
      <c r="C11" s="67">
        <f>'Detailed Calculations'!C11</f>
        <v>100</v>
      </c>
      <c r="D11" s="67">
        <f>'Detailed Calculations'!D11</f>
        <v>0</v>
      </c>
      <c r="E11" s="67">
        <f>'Detailed Calculations'!E11</f>
        <v>0</v>
      </c>
      <c r="F11" s="189" t="s">
        <v>53</v>
      </c>
      <c r="G11" s="189"/>
      <c r="H11" s="189"/>
      <c r="I11" s="189"/>
      <c r="J11" s="85" t="s">
        <v>129</v>
      </c>
      <c r="K11" s="68">
        <f>x</f>
        <v>500</v>
      </c>
      <c r="L11" s="85" t="s">
        <v>130</v>
      </c>
      <c r="M11" s="68">
        <f>y</f>
        <v>500</v>
      </c>
      <c r="N11" s="3"/>
    </row>
    <row r="12" spans="1:14" ht="11.25">
      <c r="A12" s="2"/>
      <c r="B12" s="12" t="s">
        <v>78</v>
      </c>
      <c r="C12" s="67">
        <f>'Detailed Calculations'!C12</f>
        <v>0</v>
      </c>
      <c r="D12" s="67">
        <f>'Detailed Calculations'!D12</f>
        <v>0</v>
      </c>
      <c r="E12" s="67">
        <f>'Detailed Calculations'!E12</f>
        <v>0</v>
      </c>
      <c r="F12" s="188" t="s">
        <v>17</v>
      </c>
      <c r="G12" s="188"/>
      <c r="H12" s="300">
        <f>qa</f>
        <v>190</v>
      </c>
      <c r="I12" s="300"/>
      <c r="J12" s="86"/>
      <c r="K12" s="86"/>
      <c r="L12" s="86"/>
      <c r="N12" s="3"/>
    </row>
    <row r="13" spans="1:14" ht="11.25">
      <c r="A13" s="2"/>
      <c r="B13" s="65" t="s">
        <v>72</v>
      </c>
      <c r="C13" s="87">
        <f>SUM(C9:C12)</f>
        <v>100</v>
      </c>
      <c r="D13" s="87">
        <f>SUM(D9:D12)</f>
        <v>1468</v>
      </c>
      <c r="E13" s="87">
        <f>SUM(E9:E12)</f>
        <v>800</v>
      </c>
      <c r="F13" s="221" t="s">
        <v>76</v>
      </c>
      <c r="G13" s="221"/>
      <c r="H13" s="221"/>
      <c r="I13" s="221"/>
      <c r="J13" s="223"/>
      <c r="K13" s="66">
        <f>phi</f>
        <v>20</v>
      </c>
      <c r="L13" s="8"/>
      <c r="N13" s="3"/>
    </row>
    <row r="14" spans="1:14" ht="12.75">
      <c r="A14" s="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8"/>
      <c r="N14" s="3"/>
    </row>
    <row r="15" spans="1:14" ht="12.75">
      <c r="A15" s="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8"/>
      <c r="N15" s="3"/>
    </row>
    <row r="16" spans="1:14" ht="12.75">
      <c r="A16" s="2"/>
      <c r="B16" s="200" t="s">
        <v>68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2"/>
      <c r="N16" s="3"/>
    </row>
    <row r="17" spans="1:22" ht="11.25">
      <c r="A17" s="2"/>
      <c r="B17" s="222" t="s">
        <v>81</v>
      </c>
      <c r="C17" s="142"/>
      <c r="D17" s="165" t="s">
        <v>67</v>
      </c>
      <c r="E17" s="165"/>
      <c r="F17" s="165" t="s">
        <v>69</v>
      </c>
      <c r="G17" s="165"/>
      <c r="H17" s="165" t="s">
        <v>70</v>
      </c>
      <c r="I17" s="165"/>
      <c r="J17" s="165"/>
      <c r="K17" s="165" t="s">
        <v>71</v>
      </c>
      <c r="L17" s="165"/>
      <c r="M17" s="165"/>
      <c r="N17" s="3"/>
      <c r="U17" s="47"/>
      <c r="V17" s="48"/>
    </row>
    <row r="18" spans="1:14" ht="11.25">
      <c r="A18" s="2"/>
      <c r="B18" s="127" t="s">
        <v>73</v>
      </c>
      <c r="C18" s="191"/>
      <c r="D18" s="66">
        <v>0.9</v>
      </c>
      <c r="E18" s="66">
        <v>1.3</v>
      </c>
      <c r="F18" s="66">
        <v>1.4</v>
      </c>
      <c r="G18" s="66">
        <v>1.7</v>
      </c>
      <c r="H18" s="66">
        <f>0.75*1.4</f>
        <v>1.0499999999999998</v>
      </c>
      <c r="I18" s="66">
        <f>0.75*1.7</f>
        <v>1.275</v>
      </c>
      <c r="J18" s="66">
        <f>0.75*1.7</f>
        <v>1.275</v>
      </c>
      <c r="K18" s="66">
        <f>0.75*1.4</f>
        <v>1.0499999999999998</v>
      </c>
      <c r="L18" s="66">
        <f>0.75*1.7</f>
        <v>1.275</v>
      </c>
      <c r="M18" s="66">
        <f>0.75*1.87</f>
        <v>1.4025</v>
      </c>
      <c r="N18" s="3"/>
    </row>
    <row r="19" spans="1:14" ht="11.25">
      <c r="A19" s="2"/>
      <c r="B19" s="203" t="s">
        <v>109</v>
      </c>
      <c r="C19" s="204"/>
      <c r="D19" s="166">
        <f>$D$18*C9+$E$18*C11</f>
        <v>130</v>
      </c>
      <c r="E19" s="166"/>
      <c r="F19" s="166">
        <f>$F$18*C9+$G$18*C10</f>
        <v>0</v>
      </c>
      <c r="G19" s="166"/>
      <c r="H19" s="166">
        <f>$H$18*C9+$I$18*C10+$J$18*C11</f>
        <v>127.49999999999999</v>
      </c>
      <c r="I19" s="166"/>
      <c r="J19" s="166"/>
      <c r="K19" s="166">
        <f>$K$18*C9+$L$18*C10+$M$18*C12</f>
        <v>0</v>
      </c>
      <c r="L19" s="166"/>
      <c r="M19" s="166"/>
      <c r="N19" s="3"/>
    </row>
    <row r="20" spans="1:19" ht="11.25">
      <c r="A20" s="2"/>
      <c r="B20" s="203" t="s">
        <v>110</v>
      </c>
      <c r="C20" s="204"/>
      <c r="D20" s="136">
        <f>$D$18*D9+$E$18*D11</f>
        <v>720</v>
      </c>
      <c r="E20" s="136"/>
      <c r="F20" s="136">
        <f>$F$18*D9+$G$18*D10</f>
        <v>2255.6</v>
      </c>
      <c r="G20" s="136"/>
      <c r="H20" s="127">
        <f>$H$18*D9+$I$18*D10+$J$18*D11</f>
        <v>1691.6999999999998</v>
      </c>
      <c r="I20" s="191"/>
      <c r="J20" s="128"/>
      <c r="K20" s="136">
        <f>$K$18*D9+$L$18*D10+$M$18*D12</f>
        <v>1691.6999999999998</v>
      </c>
      <c r="L20" s="136"/>
      <c r="M20" s="136"/>
      <c r="N20" s="3"/>
      <c r="R20" s="47"/>
      <c r="S20" s="48"/>
    </row>
    <row r="21" spans="1:14" ht="11.25">
      <c r="A21" s="2"/>
      <c r="B21" s="203" t="s">
        <v>18</v>
      </c>
      <c r="C21" s="204"/>
      <c r="D21" s="136">
        <f>$D$18*E9+$E$18*E11</f>
        <v>0</v>
      </c>
      <c r="E21" s="136"/>
      <c r="F21" s="136">
        <f>$F$18*E9+$G$18*E10</f>
        <v>1360</v>
      </c>
      <c r="G21" s="136"/>
      <c r="H21" s="127">
        <f>$H$18*E9+$I$18*E10+$J$18*E11</f>
        <v>1019.9999999999999</v>
      </c>
      <c r="I21" s="191"/>
      <c r="J21" s="128"/>
      <c r="K21" s="136">
        <f>$K$18*E9+$L$18*E10+$M$18*E12</f>
        <v>1019.9999999999999</v>
      </c>
      <c r="L21" s="136"/>
      <c r="M21" s="136"/>
      <c r="N21" s="3"/>
    </row>
    <row r="22" spans="1:14" ht="11.25">
      <c r="A22" s="2"/>
      <c r="B22" s="9"/>
      <c r="C22" s="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"/>
    </row>
    <row r="23" spans="1:14" ht="11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3"/>
    </row>
    <row r="24" spans="1:14" ht="15.75">
      <c r="A24" s="10" t="s">
        <v>54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N24" s="3"/>
    </row>
    <row r="25" spans="1:16" ht="15.7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N25" s="3"/>
      <c r="O25" s="47"/>
      <c r="P25" s="48"/>
    </row>
    <row r="26" spans="1:22" ht="12.75">
      <c r="A26" s="2"/>
      <c r="B26" s="81" t="s">
        <v>25</v>
      </c>
      <c r="C26" s="8"/>
      <c r="D26" s="8"/>
      <c r="E26" s="72" t="s">
        <v>152</v>
      </c>
      <c r="F26" s="56"/>
      <c r="G26" s="75">
        <f>qmax</f>
        <v>235.84025979630883</v>
      </c>
      <c r="H26" s="73" t="s">
        <v>153</v>
      </c>
      <c r="I26" s="8"/>
      <c r="J26" s="72" t="s">
        <v>154</v>
      </c>
      <c r="K26" s="56"/>
      <c r="L26" s="75">
        <f>qmin</f>
        <v>40.60255275014573</v>
      </c>
      <c r="M26" s="73" t="s">
        <v>153</v>
      </c>
      <c r="N26" s="3"/>
      <c r="V26" s="49"/>
    </row>
    <row r="27" spans="1:22" ht="6.75" customHeight="1">
      <c r="A27" s="2"/>
      <c r="B27" s="81"/>
      <c r="C27" s="8"/>
      <c r="D27" s="8"/>
      <c r="E27" s="70"/>
      <c r="F27" s="69"/>
      <c r="G27" s="71"/>
      <c r="H27" s="73"/>
      <c r="I27" s="8"/>
      <c r="J27" s="70"/>
      <c r="K27" s="69"/>
      <c r="L27" s="71"/>
      <c r="M27" s="73"/>
      <c r="N27" s="3"/>
      <c r="V27" s="49"/>
    </row>
    <row r="28" spans="1:14" ht="15.75">
      <c r="A28" s="2"/>
      <c r="B28" s="8"/>
      <c r="C28" s="8"/>
      <c r="D28" s="8"/>
      <c r="E28" s="70" t="s">
        <v>151</v>
      </c>
      <c r="F28" s="8"/>
      <c r="G28" s="8"/>
      <c r="H28" s="8"/>
      <c r="I28" s="8"/>
      <c r="J28" s="73" t="str">
        <f>IF(qmax&gt;0,IF(qmin&gt;0,"( 3qmax + qmin ) /4",IF(qmin=0," 2 Fv / (B x L)"," 2 Fv / (3 ( L/2 - e ) B )")),"Error")</f>
        <v>( 3qmax + qmin ) /4</v>
      </c>
      <c r="K28" s="8"/>
      <c r="L28" s="8"/>
      <c r="N28" s="3"/>
    </row>
    <row r="29" spans="1:14" ht="15.75">
      <c r="A29" s="2"/>
      <c r="B29" s="8"/>
      <c r="C29" s="8"/>
      <c r="D29" s="8"/>
      <c r="E29" s="74" t="s">
        <v>155</v>
      </c>
      <c r="F29" s="56"/>
      <c r="G29" s="76">
        <f>IF(qmax&gt;0,IF(qmin&gt;0,(3*qmax+qmin)/4,IF(qmin=0,(1000000*2*Fv)/(B*L),(1000000*2*Fv)/(3*(L/2-e)*B))),"Error")</f>
        <v>187.03083303476805</v>
      </c>
      <c r="H29" s="73" t="s">
        <v>153</v>
      </c>
      <c r="I29" s="18" t="str">
        <f>IF(qGP&lt;=qa,"&lt; qa =","&gt; qa =")</f>
        <v>&lt; qa =</v>
      </c>
      <c r="J29" s="18">
        <f>qa</f>
        <v>190</v>
      </c>
      <c r="K29" s="82" t="str">
        <f>IF(qGP&lt;=qa,"YES","NO")</f>
        <v>YES</v>
      </c>
      <c r="L29" s="8"/>
      <c r="N29" s="3"/>
    </row>
    <row r="30" spans="1:14" ht="11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N30" s="3"/>
    </row>
    <row r="31" spans="1:14" ht="12.75">
      <c r="A31" s="2"/>
      <c r="B31" s="81" t="s">
        <v>60</v>
      </c>
      <c r="C31" s="8"/>
      <c r="D31" s="8"/>
      <c r="E31" s="136" t="s">
        <v>62</v>
      </c>
      <c r="F31" s="136"/>
      <c r="G31" s="136"/>
      <c r="H31" s="12">
        <f>'Detailed Calculations'!H83</f>
        <v>950</v>
      </c>
      <c r="I31" s="73" t="s">
        <v>64</v>
      </c>
      <c r="J31" s="8"/>
      <c r="K31" s="8"/>
      <c r="L31" s="8"/>
      <c r="N31" s="3"/>
    </row>
    <row r="32" spans="1:19" ht="12.75">
      <c r="A32" s="2"/>
      <c r="B32" s="81" t="s">
        <v>61</v>
      </c>
      <c r="C32" s="8"/>
      <c r="D32" s="8"/>
      <c r="E32" s="136" t="s">
        <v>63</v>
      </c>
      <c r="F32" s="136"/>
      <c r="G32" s="136"/>
      <c r="H32" s="12">
        <f>'Detailed Calculations'!H84</f>
        <v>4035.398836</v>
      </c>
      <c r="I32" s="73" t="s">
        <v>64</v>
      </c>
      <c r="J32" s="8"/>
      <c r="K32" s="8"/>
      <c r="L32" s="8"/>
      <c r="N32" s="3"/>
      <c r="R32" s="47"/>
      <c r="S32" s="48"/>
    </row>
    <row r="33" spans="1:14" ht="11.25">
      <c r="A33" s="2"/>
      <c r="B33" s="8"/>
      <c r="C33" s="8"/>
      <c r="D33" s="8"/>
      <c r="E33" s="166"/>
      <c r="F33" s="166"/>
      <c r="G33" s="166"/>
      <c r="H33" s="8"/>
      <c r="I33" s="8"/>
      <c r="J33" s="8"/>
      <c r="K33" s="8"/>
      <c r="L33" s="8"/>
      <c r="N33" s="3"/>
    </row>
    <row r="34" spans="1:14" ht="12.75">
      <c r="A34" s="2"/>
      <c r="B34" s="8"/>
      <c r="C34" s="8"/>
      <c r="D34" s="8"/>
      <c r="E34" s="136"/>
      <c r="F34" s="136"/>
      <c r="G34" s="136"/>
      <c r="H34" s="81">
        <f>'Detailed Calculations'!E86</f>
        <v>4.2477882484210525</v>
      </c>
      <c r="I34" s="16" t="str">
        <f>IF(H34&gt;=1.5,"&gt;","&lt;")</f>
        <v>&gt;</v>
      </c>
      <c r="J34" s="18">
        <v>1.5</v>
      </c>
      <c r="K34" s="82" t="str">
        <f>'Detailed Calculations'!H86</f>
        <v>YES</v>
      </c>
      <c r="L34" s="8"/>
      <c r="N34" s="3"/>
    </row>
    <row r="35" spans="1:14" ht="11.25">
      <c r="A35" s="2"/>
      <c r="B35" s="8"/>
      <c r="C35" s="8"/>
      <c r="D35" s="8"/>
      <c r="E35" s="136"/>
      <c r="F35" s="136"/>
      <c r="G35" s="136"/>
      <c r="H35" s="8"/>
      <c r="I35" s="8"/>
      <c r="J35" s="8"/>
      <c r="K35" s="8"/>
      <c r="L35" s="8"/>
      <c r="N35" s="3"/>
    </row>
    <row r="36" spans="1:14" ht="11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N36" s="3"/>
    </row>
    <row r="37" spans="1:14" ht="12.75">
      <c r="A37" s="2"/>
      <c r="B37" s="81" t="s">
        <v>65</v>
      </c>
      <c r="C37" s="8"/>
      <c r="D37" s="8"/>
      <c r="E37" s="136"/>
      <c r="F37" s="136"/>
      <c r="G37" s="136"/>
      <c r="H37" s="8"/>
      <c r="I37" s="8"/>
      <c r="J37" s="8"/>
      <c r="K37" s="8"/>
      <c r="L37" s="8"/>
      <c r="N37" s="3"/>
    </row>
    <row r="38" spans="1:14" ht="12.75">
      <c r="A38" s="2"/>
      <c r="B38" s="81" t="s">
        <v>66</v>
      </c>
      <c r="C38" s="8"/>
      <c r="D38" s="8"/>
      <c r="E38" s="136"/>
      <c r="F38" s="136"/>
      <c r="G38" s="136"/>
      <c r="H38" s="16">
        <f>'Detailed Calculations'!E91</f>
        <v>6.768502579246452</v>
      </c>
      <c r="I38" s="16" t="str">
        <f>IF(H38&gt;=1.5,"&gt;","&lt;")</f>
        <v>&gt;</v>
      </c>
      <c r="J38" s="18">
        <v>1.5</v>
      </c>
      <c r="K38" s="82" t="str">
        <f>'Detailed Calculations'!H91</f>
        <v>YES</v>
      </c>
      <c r="L38" s="8"/>
      <c r="N38" s="3"/>
    </row>
    <row r="39" spans="1:14" ht="11.25">
      <c r="A39" s="2"/>
      <c r="B39" s="8"/>
      <c r="C39" s="8"/>
      <c r="D39" s="8"/>
      <c r="E39" s="136"/>
      <c r="F39" s="136"/>
      <c r="G39" s="136"/>
      <c r="H39" s="8"/>
      <c r="I39" s="8"/>
      <c r="J39" s="8"/>
      <c r="K39" s="8"/>
      <c r="L39" s="8"/>
      <c r="N39" s="3"/>
    </row>
    <row r="40" spans="1:14" ht="11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N40" s="3"/>
    </row>
    <row r="41" spans="1:14" ht="12.75" customHeight="1">
      <c r="A41" s="2"/>
      <c r="B41" s="309" t="s">
        <v>98</v>
      </c>
      <c r="C41" s="309"/>
      <c r="D41" s="309"/>
      <c r="E41" s="136" t="s">
        <v>100</v>
      </c>
      <c r="F41" s="136"/>
      <c r="G41" s="136" t="s">
        <v>101</v>
      </c>
      <c r="H41" s="136"/>
      <c r="I41" s="136" t="s">
        <v>81</v>
      </c>
      <c r="J41" s="136"/>
      <c r="K41" s="8"/>
      <c r="L41" s="8"/>
      <c r="N41" s="3"/>
    </row>
    <row r="42" spans="1:14" ht="12.75" customHeight="1">
      <c r="A42" s="2"/>
      <c r="B42" s="309"/>
      <c r="C42" s="309"/>
      <c r="D42" s="309"/>
      <c r="E42" s="133">
        <f>'Detailed Calculations'!H95</f>
        <v>1411.459197662712</v>
      </c>
      <c r="F42" s="133"/>
      <c r="G42" s="133" t="e">
        <f>MAX('Detailed Calculations'!D97:K97)</f>
        <v>#NAME?</v>
      </c>
      <c r="H42" s="133"/>
      <c r="I42" s="136" t="e">
        <f>INDEX('Detailed Calculations'!D96:K96,,MATCH(MAX('Detailed Calculations'!D97:K97),'Detailed Calculations'!D97:K97,0))</f>
        <v>#NAME?</v>
      </c>
      <c r="J42" s="136"/>
      <c r="K42" s="8"/>
      <c r="L42" s="8"/>
      <c r="N42" s="3"/>
    </row>
    <row r="43" spans="1:14" ht="12.75">
      <c r="A43" s="2"/>
      <c r="B43" s="8"/>
      <c r="C43" s="8"/>
      <c r="D43" s="8"/>
      <c r="E43" s="8"/>
      <c r="F43" s="73"/>
      <c r="G43" s="15" t="s">
        <v>90</v>
      </c>
      <c r="H43" s="16" t="e">
        <f>IF(MAX('Detailed Calculations'!D98:K98)=0,"NA",MAX('Detailed Calculations'!D98:K98))</f>
        <v>#NAME?</v>
      </c>
      <c r="I43" s="16" t="e">
        <f>IF(H43&lt;1,"&lt;","&gt;")</f>
        <v>#NAME?</v>
      </c>
      <c r="J43" s="83">
        <v>1</v>
      </c>
      <c r="K43" s="82" t="e">
        <f>IF(H43="NA","No Need For Checking",IF(I43="&lt;","YES","NO"))</f>
        <v>#NAME?</v>
      </c>
      <c r="L43" s="8"/>
      <c r="N43" s="3"/>
    </row>
    <row r="44" spans="1:14" ht="11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N44" s="3"/>
    </row>
    <row r="45" spans="1:14" ht="11.25">
      <c r="A45" s="2"/>
      <c r="B45" s="286" t="s">
        <v>99</v>
      </c>
      <c r="C45" s="287"/>
      <c r="D45" s="287"/>
      <c r="E45" s="136" t="s">
        <v>100</v>
      </c>
      <c r="F45" s="136"/>
      <c r="G45" s="136" t="s">
        <v>101</v>
      </c>
      <c r="H45" s="136"/>
      <c r="I45" s="136" t="s">
        <v>81</v>
      </c>
      <c r="J45" s="136"/>
      <c r="K45" s="8"/>
      <c r="L45" s="8"/>
      <c r="N45" s="3"/>
    </row>
    <row r="46" spans="1:14" ht="11.25">
      <c r="A46" s="2"/>
      <c r="B46" s="287"/>
      <c r="C46" s="287"/>
      <c r="D46" s="287"/>
      <c r="E46" s="133">
        <f>'Detailed Calculations'!M104</f>
        <v>3715.324855783139</v>
      </c>
      <c r="F46" s="133"/>
      <c r="G46" s="133" t="e">
        <f>MAX('Detailed Calculations'!D108:K108)</f>
        <v>#NAME?</v>
      </c>
      <c r="H46" s="133"/>
      <c r="I46" s="136" t="e">
        <f>INDEX('Detailed Calculations'!D107:K107,,MATCH(MAX('Detailed Calculations'!D108:K108),'Detailed Calculations'!D108:K108,0))</f>
        <v>#NAME?</v>
      </c>
      <c r="J46" s="136"/>
      <c r="K46" s="8"/>
      <c r="L46" s="8"/>
      <c r="N46" s="3"/>
    </row>
    <row r="47" spans="1:14" ht="12.75">
      <c r="A47" s="2"/>
      <c r="B47" s="8"/>
      <c r="C47" s="8"/>
      <c r="D47" s="8"/>
      <c r="E47" s="8"/>
      <c r="F47" s="73"/>
      <c r="G47" s="15" t="s">
        <v>90</v>
      </c>
      <c r="H47" s="81" t="e">
        <f>MAX('Detailed Calculations'!D109:K109)</f>
        <v>#NAME?</v>
      </c>
      <c r="I47" s="16" t="e">
        <f>IF(H47&lt;1,"&lt;","&gt;")</f>
        <v>#NAME?</v>
      </c>
      <c r="J47" s="83">
        <v>1</v>
      </c>
      <c r="K47" s="84" t="e">
        <f>IF(I47="&lt;","YES","NO")</f>
        <v>#NAME?</v>
      </c>
      <c r="L47" s="8"/>
      <c r="N47" s="3"/>
    </row>
    <row r="48" spans="1:14" ht="11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N48" s="3"/>
    </row>
    <row r="49" spans="1:14" ht="15.75">
      <c r="A49" s="10" t="s">
        <v>104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N49" s="3"/>
    </row>
    <row r="50" spans="1:14" ht="11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N50" s="3"/>
    </row>
    <row r="51" spans="1:14" ht="12.75">
      <c r="A51" s="2"/>
      <c r="B51" s="17" t="s">
        <v>105</v>
      </c>
      <c r="C51" s="17"/>
      <c r="D51" s="17"/>
      <c r="E51" s="18"/>
      <c r="F51" s="17"/>
      <c r="G51" s="17"/>
      <c r="H51" s="17"/>
      <c r="I51" s="18"/>
      <c r="J51" s="18"/>
      <c r="K51" s="18"/>
      <c r="L51" s="18"/>
      <c r="M51" s="18"/>
      <c r="N51" s="3"/>
    </row>
    <row r="52" spans="1:14" ht="12.75">
      <c r="A52" s="2"/>
      <c r="B52" s="19" t="s">
        <v>142</v>
      </c>
      <c r="C52" s="301">
        <f>B</f>
        <v>3100</v>
      </c>
      <c r="D52" s="301"/>
      <c r="E52" s="63" t="s">
        <v>141</v>
      </c>
      <c r="F52" s="19" t="s">
        <v>148</v>
      </c>
      <c r="G52" s="301">
        <f>d</f>
        <v>520</v>
      </c>
      <c r="H52" s="301"/>
      <c r="I52" s="64" t="s">
        <v>141</v>
      </c>
      <c r="J52" s="8"/>
      <c r="K52" s="8"/>
      <c r="L52" s="8"/>
      <c r="N52" s="3"/>
    </row>
    <row r="53" spans="1:14" ht="12.75">
      <c r="A53" s="2"/>
      <c r="B53" s="19" t="s">
        <v>117</v>
      </c>
      <c r="C53" s="301">
        <f>L</f>
        <v>4340</v>
      </c>
      <c r="D53" s="301"/>
      <c r="E53" s="73" t="s">
        <v>141</v>
      </c>
      <c r="F53" s="19" t="s">
        <v>140</v>
      </c>
      <c r="G53" s="301">
        <f>dd</f>
        <v>590</v>
      </c>
      <c r="H53" s="301"/>
      <c r="I53" s="73" t="s">
        <v>141</v>
      </c>
      <c r="J53" s="8"/>
      <c r="K53" s="8"/>
      <c r="L53" s="8"/>
      <c r="N53" s="3"/>
    </row>
    <row r="54" spans="1:14" ht="11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N54" s="3"/>
    </row>
    <row r="55" spans="1:14" ht="12.75">
      <c r="A55" s="2"/>
      <c r="B55" s="18" t="s">
        <v>106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"/>
    </row>
    <row r="56" spans="1:14" ht="12.75">
      <c r="A56" s="2"/>
      <c r="B56" s="302"/>
      <c r="C56" s="303"/>
      <c r="D56" s="306" t="s">
        <v>113</v>
      </c>
      <c r="E56" s="307"/>
      <c r="F56" s="307"/>
      <c r="G56" s="307"/>
      <c r="H56" s="308"/>
      <c r="I56" s="306" t="s">
        <v>114</v>
      </c>
      <c r="J56" s="307"/>
      <c r="K56" s="307"/>
      <c r="L56" s="307"/>
      <c r="M56" s="308"/>
      <c r="N56" s="3"/>
    </row>
    <row r="57" spans="1:14" ht="12.75">
      <c r="A57" s="2"/>
      <c r="B57" s="304"/>
      <c r="C57" s="305"/>
      <c r="D57" s="306" t="s">
        <v>55</v>
      </c>
      <c r="E57" s="307"/>
      <c r="F57" s="308"/>
      <c r="G57" s="306" t="s">
        <v>56</v>
      </c>
      <c r="H57" s="307"/>
      <c r="I57" s="307"/>
      <c r="J57" s="308"/>
      <c r="K57" s="306" t="s">
        <v>55</v>
      </c>
      <c r="L57" s="307"/>
      <c r="M57" s="308"/>
      <c r="N57" s="3"/>
    </row>
    <row r="58" spans="1:14" ht="12.75">
      <c r="A58" s="2"/>
      <c r="B58" s="306" t="s">
        <v>120</v>
      </c>
      <c r="C58" s="308"/>
      <c r="D58" s="312" t="e">
        <f>('Detailed Calculations'!C123)*B*d/100</f>
        <v>#NAME?</v>
      </c>
      <c r="E58" s="313"/>
      <c r="F58" s="314"/>
      <c r="G58" s="312" t="e">
        <f>'Detailed Calculations'!G123*B*d/100</f>
        <v>#NAME?</v>
      </c>
      <c r="H58" s="313"/>
      <c r="I58" s="313"/>
      <c r="J58" s="314"/>
      <c r="K58" s="312" t="e">
        <f>'Detailed Calculations'!K123*L*d/100</f>
        <v>#NAME?</v>
      </c>
      <c r="L58" s="313"/>
      <c r="M58" s="314"/>
      <c r="N58" s="3"/>
    </row>
    <row r="59" spans="1:14" ht="12.75">
      <c r="A59" s="2"/>
      <c r="B59" s="310" t="s">
        <v>159</v>
      </c>
      <c r="C59" s="311"/>
      <c r="D59" s="312" t="e">
        <f>100*D58/(B*d)</f>
        <v>#NAME?</v>
      </c>
      <c r="E59" s="313"/>
      <c r="F59" s="314"/>
      <c r="G59" s="312" t="e">
        <f>100*G58/(B*d)</f>
        <v>#NAME?</v>
      </c>
      <c r="H59" s="313"/>
      <c r="I59" s="313"/>
      <c r="J59" s="314"/>
      <c r="K59" s="312" t="e">
        <f>100*K58/(L*d)</f>
        <v>#NAME?</v>
      </c>
      <c r="L59" s="313"/>
      <c r="M59" s="314"/>
      <c r="N59" s="3"/>
    </row>
    <row r="60" spans="1:14" ht="11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N60" s="3"/>
    </row>
    <row r="61" spans="1:14" ht="11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N61" s="3"/>
    </row>
    <row r="62" spans="1:14" ht="11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N62" s="3"/>
    </row>
    <row r="63" spans="1:14" ht="11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N63" s="3"/>
    </row>
    <row r="64" spans="1:14" ht="11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N64" s="3"/>
    </row>
    <row r="65" spans="1:14" ht="11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N65" s="3"/>
    </row>
    <row r="66" spans="1:14" ht="12" thickBo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11.25">
      <c r="A67" s="278" t="s">
        <v>124</v>
      </c>
      <c r="B67" s="279"/>
      <c r="C67" s="279"/>
      <c r="D67" s="279"/>
      <c r="E67" s="279"/>
      <c r="F67" s="279"/>
      <c r="G67" s="279"/>
      <c r="H67" s="280"/>
      <c r="I67" s="284" t="s">
        <v>3</v>
      </c>
      <c r="J67" s="285"/>
      <c r="K67" s="196" t="str">
        <f>K1</f>
        <v>Design</v>
      </c>
      <c r="L67" s="197"/>
      <c r="M67" s="197"/>
      <c r="N67" s="123" t="s">
        <v>2</v>
      </c>
    </row>
    <row r="68" spans="1:14" ht="12" thickBot="1">
      <c r="A68" s="281"/>
      <c r="B68" s="282"/>
      <c r="C68" s="282"/>
      <c r="D68" s="282"/>
      <c r="E68" s="282"/>
      <c r="F68" s="282"/>
      <c r="G68" s="282"/>
      <c r="H68" s="283"/>
      <c r="I68" s="294" t="s">
        <v>1</v>
      </c>
      <c r="J68" s="295"/>
      <c r="K68" s="167">
        <f>K2</f>
        <v>0</v>
      </c>
      <c r="L68" s="168"/>
      <c r="M68" s="168"/>
      <c r="N68" s="205" t="s">
        <v>31</v>
      </c>
    </row>
    <row r="69" spans="1:14" ht="12" thickBot="1">
      <c r="A69" s="288" t="s">
        <v>0</v>
      </c>
      <c r="B69" s="289"/>
      <c r="C69" s="290" t="str">
        <f>C3</f>
        <v>Verification example from [Nawy, P.584]</v>
      </c>
      <c r="D69" s="290"/>
      <c r="E69" s="290"/>
      <c r="F69" s="290"/>
      <c r="G69" s="290"/>
      <c r="H69" s="291"/>
      <c r="I69" s="294" t="s">
        <v>4</v>
      </c>
      <c r="J69" s="295"/>
      <c r="K69" s="167" t="str">
        <f>K3</f>
        <v>Test1</v>
      </c>
      <c r="L69" s="168"/>
      <c r="M69" s="168"/>
      <c r="N69" s="206"/>
    </row>
    <row r="70" spans="1:14" ht="12" thickBot="1">
      <c r="A70" s="216"/>
      <c r="B70" s="217"/>
      <c r="C70" s="292"/>
      <c r="D70" s="292"/>
      <c r="E70" s="292"/>
      <c r="F70" s="292"/>
      <c r="G70" s="292"/>
      <c r="H70" s="293"/>
      <c r="I70" s="296" t="s">
        <v>5</v>
      </c>
      <c r="J70" s="297"/>
      <c r="K70" s="172" t="str">
        <f>K4</f>
        <v>Test2</v>
      </c>
      <c r="L70" s="173"/>
      <c r="M70" s="173"/>
      <c r="N70" s="124"/>
    </row>
    <row r="71" spans="1:14" ht="11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N71" s="3"/>
    </row>
    <row r="72" spans="1:14" ht="11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N72" s="3"/>
    </row>
    <row r="73" spans="1:14" ht="11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N73" s="3"/>
    </row>
    <row r="74" spans="1:14" ht="11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N74" s="3"/>
    </row>
    <row r="75" spans="1:14" ht="11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N75" s="3"/>
    </row>
    <row r="76" spans="1:14" ht="11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N76" s="3"/>
    </row>
    <row r="77" spans="1:14" ht="11.25">
      <c r="A77" s="23"/>
      <c r="B77" s="24"/>
      <c r="C77" s="25"/>
      <c r="D77" s="25"/>
      <c r="E77" s="25"/>
      <c r="F77" s="25"/>
      <c r="G77" s="25"/>
      <c r="H77" s="25"/>
      <c r="I77" s="26"/>
      <c r="J77" s="26"/>
      <c r="K77" s="27"/>
      <c r="L77" s="27"/>
      <c r="M77" s="27"/>
      <c r="N77" s="92"/>
    </row>
    <row r="78" spans="1:14" ht="11.25">
      <c r="A78" s="23"/>
      <c r="B78" s="24"/>
      <c r="C78" s="25"/>
      <c r="D78" s="25"/>
      <c r="E78" s="25"/>
      <c r="F78" s="25"/>
      <c r="G78" s="25"/>
      <c r="H78" s="25"/>
      <c r="I78" s="26"/>
      <c r="J78" s="26"/>
      <c r="K78" s="27"/>
      <c r="L78" s="27"/>
      <c r="M78" s="27"/>
      <c r="N78" s="92"/>
    </row>
    <row r="79" spans="1:14" ht="12.75">
      <c r="A79" s="23"/>
      <c r="B79" s="24"/>
      <c r="C79" s="25"/>
      <c r="D79" s="25"/>
      <c r="E79" s="25"/>
      <c r="F79" s="25"/>
      <c r="G79" s="93">
        <f>Fy</f>
        <v>1468</v>
      </c>
      <c r="H79" s="94" t="s">
        <v>156</v>
      </c>
      <c r="I79" s="26"/>
      <c r="J79" s="26"/>
      <c r="K79" s="27"/>
      <c r="L79" s="27"/>
      <c r="M79" s="27"/>
      <c r="N79" s="92"/>
    </row>
    <row r="80" spans="1:14" ht="11.25">
      <c r="A80" s="23"/>
      <c r="B80" s="24"/>
      <c r="C80" s="25"/>
      <c r="D80" s="25"/>
      <c r="E80" s="25"/>
      <c r="F80" s="25"/>
      <c r="G80" s="25"/>
      <c r="H80" s="25"/>
      <c r="I80" s="26"/>
      <c r="J80" s="26"/>
      <c r="K80" s="27"/>
      <c r="L80" s="27"/>
      <c r="M80" s="27"/>
      <c r="N80" s="92"/>
    </row>
    <row r="81" spans="1:14" ht="12.75">
      <c r="A81" s="88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89"/>
    </row>
    <row r="82" spans="1:14" ht="12.75">
      <c r="A82" s="88"/>
      <c r="B82" s="73"/>
      <c r="C82" s="73"/>
      <c r="D82" s="73"/>
      <c r="E82" s="71">
        <f>Fx</f>
        <v>100</v>
      </c>
      <c r="F82" s="73" t="s">
        <v>156</v>
      </c>
      <c r="G82" s="73"/>
      <c r="H82" s="8"/>
      <c r="I82" s="70">
        <f>Mz</f>
        <v>800</v>
      </c>
      <c r="J82" s="73" t="s">
        <v>64</v>
      </c>
      <c r="K82" s="73"/>
      <c r="L82" s="73"/>
      <c r="M82" s="73"/>
      <c r="N82" s="89"/>
    </row>
    <row r="83" spans="1:14" ht="12.75">
      <c r="A83" s="88"/>
      <c r="B83" s="80">
        <f>hh</f>
        <v>200</v>
      </c>
      <c r="C83" s="8"/>
      <c r="D83" s="73"/>
      <c r="E83" s="8"/>
      <c r="F83" s="8"/>
      <c r="G83" s="73"/>
      <c r="H83" s="73"/>
      <c r="I83" s="73"/>
      <c r="J83" s="73"/>
      <c r="K83" s="73"/>
      <c r="L83" s="73"/>
      <c r="M83" s="73"/>
      <c r="N83" s="89"/>
    </row>
    <row r="84" spans="1:14" ht="12.75">
      <c r="A84" s="88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89"/>
    </row>
    <row r="85" spans="1:14" ht="12.75">
      <c r="A85" s="88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89"/>
    </row>
    <row r="86" spans="1:14" ht="12.75">
      <c r="A86" s="88"/>
      <c r="B86" s="73"/>
      <c r="C86" s="73"/>
      <c r="D86" s="70" t="s">
        <v>139</v>
      </c>
      <c r="E86" s="73"/>
      <c r="F86" s="73"/>
      <c r="G86" s="73"/>
      <c r="H86" s="73"/>
      <c r="I86" s="73"/>
      <c r="J86" s="73"/>
      <c r="K86" s="73"/>
      <c r="L86" s="73"/>
      <c r="M86" s="73"/>
      <c r="N86" s="89"/>
    </row>
    <row r="87" spans="1:14" ht="12.75">
      <c r="A87" s="88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89"/>
    </row>
    <row r="88" spans="1:14" ht="12.75">
      <c r="A88" s="88"/>
      <c r="B88" s="73" t="s">
        <v>138</v>
      </c>
      <c r="C88" s="73"/>
      <c r="D88" s="73"/>
      <c r="E88" s="73"/>
      <c r="F88" s="73"/>
      <c r="G88" s="73"/>
      <c r="H88" s="73"/>
      <c r="I88" s="71"/>
      <c r="J88" s="80" t="e">
        <f>G59*B*d/100</f>
        <v>#NAME?</v>
      </c>
      <c r="K88" s="73" t="s">
        <v>123</v>
      </c>
      <c r="L88" s="73"/>
      <c r="M88" s="73"/>
      <c r="N88" s="89"/>
    </row>
    <row r="89" spans="1:14" ht="12.75">
      <c r="A89" s="90"/>
      <c r="B89" s="80">
        <f>H</f>
        <v>1300</v>
      </c>
      <c r="C89" s="71"/>
      <c r="D89" s="70">
        <f>hw</f>
        <v>0</v>
      </c>
      <c r="E89" s="73"/>
      <c r="F89" s="73"/>
      <c r="G89" s="73"/>
      <c r="H89" s="73"/>
      <c r="I89" s="73"/>
      <c r="J89" s="73"/>
      <c r="K89" s="73"/>
      <c r="L89" s="73"/>
      <c r="M89" s="73"/>
      <c r="N89" s="89"/>
    </row>
    <row r="90" spans="1:14" ht="12.75">
      <c r="A90" s="88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89"/>
    </row>
    <row r="91" spans="1:14" ht="12.75">
      <c r="A91" s="88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89"/>
    </row>
    <row r="92" spans="1:14" ht="12.75">
      <c r="A92" s="88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89"/>
    </row>
    <row r="93" spans="1:14" ht="12.75">
      <c r="A93" s="88"/>
      <c r="B93" s="8"/>
      <c r="C93" s="80">
        <f>dd</f>
        <v>590</v>
      </c>
      <c r="D93" s="73"/>
      <c r="E93" s="73"/>
      <c r="F93" s="73"/>
      <c r="G93" s="73"/>
      <c r="H93" s="73"/>
      <c r="I93" s="73"/>
      <c r="J93" s="73"/>
      <c r="K93" s="71">
        <f>d</f>
        <v>520</v>
      </c>
      <c r="L93" s="73" t="s">
        <v>141</v>
      </c>
      <c r="M93" s="73"/>
      <c r="N93" s="89"/>
    </row>
    <row r="94" spans="1:14" ht="12.75">
      <c r="A94" s="88"/>
      <c r="B94" s="73"/>
      <c r="C94" s="8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89"/>
    </row>
    <row r="95" spans="1:14" ht="12.75">
      <c r="A95" s="88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89"/>
    </row>
    <row r="96" spans="1:14" ht="12.75">
      <c r="A96" s="88"/>
      <c r="B96" s="73"/>
      <c r="C96" s="73"/>
      <c r="D96" s="73"/>
      <c r="E96" s="73"/>
      <c r="F96" s="71" t="s">
        <v>117</v>
      </c>
      <c r="G96" s="80">
        <f>L</f>
        <v>4340</v>
      </c>
      <c r="H96" s="73" t="s">
        <v>141</v>
      </c>
      <c r="I96" s="73"/>
      <c r="J96" s="73"/>
      <c r="K96" s="73"/>
      <c r="L96" s="73"/>
      <c r="M96" s="73"/>
      <c r="N96" s="89"/>
    </row>
    <row r="97" spans="1:14" ht="12.75">
      <c r="A97" s="88"/>
      <c r="B97" s="73"/>
      <c r="C97" s="73"/>
      <c r="D97" s="73"/>
      <c r="E97" s="73"/>
      <c r="F97" s="8"/>
      <c r="G97" s="8"/>
      <c r="H97" s="8"/>
      <c r="I97" s="73"/>
      <c r="J97" s="73"/>
      <c r="K97" s="73"/>
      <c r="L97" s="73"/>
      <c r="M97" s="73"/>
      <c r="N97" s="89"/>
    </row>
    <row r="98" spans="1:14" ht="12.75">
      <c r="A98" s="88"/>
      <c r="B98" s="73"/>
      <c r="C98" s="71" t="s">
        <v>120</v>
      </c>
      <c r="D98" s="73" t="e">
        <f>K59*L*d/100</f>
        <v>#NAME?</v>
      </c>
      <c r="E98" s="73" t="s">
        <v>122</v>
      </c>
      <c r="F98" s="73"/>
      <c r="G98" s="73"/>
      <c r="H98" s="73"/>
      <c r="I98" s="73"/>
      <c r="J98" s="71" t="s">
        <v>120</v>
      </c>
      <c r="K98" s="73" t="e">
        <f>D59*B*d/100</f>
        <v>#NAME?</v>
      </c>
      <c r="L98" s="73" t="s">
        <v>121</v>
      </c>
      <c r="M98" s="73"/>
      <c r="N98" s="89"/>
    </row>
    <row r="99" spans="1:14" ht="12.75">
      <c r="A99" s="88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89"/>
    </row>
    <row r="100" spans="1:14" ht="12.75">
      <c r="A100" s="88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89"/>
    </row>
    <row r="101" spans="1:14" ht="12.75">
      <c r="A101" s="88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89"/>
    </row>
    <row r="102" spans="1:14" ht="12.75">
      <c r="A102" s="88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89"/>
    </row>
    <row r="103" spans="1:14" ht="12.75">
      <c r="A103" s="88"/>
      <c r="B103" s="73"/>
      <c r="C103" s="73"/>
      <c r="D103" s="73"/>
      <c r="E103" s="73"/>
      <c r="F103" s="73"/>
      <c r="G103" s="73"/>
      <c r="H103" s="73"/>
      <c r="I103" s="73"/>
      <c r="J103" s="73"/>
      <c r="K103" s="80" t="s">
        <v>119</v>
      </c>
      <c r="L103" s="73"/>
      <c r="M103" s="73"/>
      <c r="N103" s="89"/>
    </row>
    <row r="104" spans="1:14" ht="12.75">
      <c r="A104" s="88"/>
      <c r="B104" s="71" t="s">
        <v>142</v>
      </c>
      <c r="C104" s="80">
        <f>B</f>
        <v>3100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89"/>
    </row>
    <row r="105" spans="1:14" ht="12.75">
      <c r="A105" s="88"/>
      <c r="B105" s="73"/>
      <c r="C105" s="73"/>
      <c r="D105" s="73"/>
      <c r="E105" s="8"/>
      <c r="F105" s="70">
        <f>y</f>
        <v>500</v>
      </c>
      <c r="G105" s="73"/>
      <c r="H105" s="73"/>
      <c r="I105" s="73"/>
      <c r="J105" s="73"/>
      <c r="K105" s="73"/>
      <c r="L105" s="73"/>
      <c r="M105" s="73"/>
      <c r="N105" s="89"/>
    </row>
    <row r="106" spans="1:14" ht="12.75">
      <c r="A106" s="88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 t="s">
        <v>118</v>
      </c>
      <c r="N106" s="89"/>
    </row>
    <row r="107" spans="1:14" ht="12.75">
      <c r="A107" s="88"/>
      <c r="B107" s="73"/>
      <c r="C107" s="73"/>
      <c r="D107" s="73"/>
      <c r="E107" s="73"/>
      <c r="F107" s="73"/>
      <c r="G107" s="91"/>
      <c r="H107" s="73"/>
      <c r="I107" s="73"/>
      <c r="J107" s="73"/>
      <c r="K107" s="73"/>
      <c r="L107" s="73"/>
      <c r="M107" s="73"/>
      <c r="N107" s="89"/>
    </row>
    <row r="108" spans="1:14" ht="12.75">
      <c r="A108" s="88"/>
      <c r="B108" s="73"/>
      <c r="C108" s="73"/>
      <c r="D108" s="73"/>
      <c r="E108" s="73"/>
      <c r="F108" s="73"/>
      <c r="G108" s="80">
        <f>x</f>
        <v>500</v>
      </c>
      <c r="H108" s="73"/>
      <c r="I108" s="73"/>
      <c r="J108" s="73"/>
      <c r="K108" s="73"/>
      <c r="L108" s="73"/>
      <c r="M108" s="73"/>
      <c r="N108" s="89"/>
    </row>
    <row r="109" spans="1:14" ht="12.75">
      <c r="A109" s="88"/>
      <c r="B109" s="73"/>
      <c r="C109" s="73"/>
      <c r="D109" s="73"/>
      <c r="E109" s="73"/>
      <c r="F109" s="73"/>
      <c r="G109" s="8"/>
      <c r="H109" s="73"/>
      <c r="I109" s="73"/>
      <c r="J109" s="73"/>
      <c r="K109" s="73"/>
      <c r="L109" s="73"/>
      <c r="M109" s="73"/>
      <c r="N109" s="89"/>
    </row>
    <row r="110" spans="1:14" ht="12.75">
      <c r="A110" s="88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89"/>
    </row>
    <row r="111" spans="1:14" ht="12.75">
      <c r="A111" s="88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89"/>
    </row>
    <row r="112" spans="1:14" ht="12.75">
      <c r="A112" s="88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89"/>
    </row>
    <row r="113" spans="1:14" ht="12.75">
      <c r="A113" s="88"/>
      <c r="B113" s="73" t="s">
        <v>143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89"/>
    </row>
    <row r="114" spans="1:14" ht="12.75">
      <c r="A114" s="88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89"/>
    </row>
    <row r="115" spans="1:14" ht="12.75">
      <c r="A115" s="88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89"/>
    </row>
    <row r="116" spans="1:14" ht="12.75">
      <c r="A116" s="88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89"/>
    </row>
    <row r="117" spans="1:14" ht="11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N117" s="3"/>
    </row>
    <row r="118" spans="1:14" ht="11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N118" s="3"/>
    </row>
    <row r="119" spans="1:14" ht="11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N119" s="3"/>
    </row>
    <row r="120" spans="1:14" ht="11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N120" s="3"/>
    </row>
    <row r="121" spans="1:14" ht="11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N121" s="3"/>
    </row>
    <row r="122" spans="1:14" ht="11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N122" s="3"/>
    </row>
    <row r="123" spans="1:14" ht="11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N123" s="3"/>
    </row>
    <row r="124" spans="1:14" ht="11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N124" s="3"/>
    </row>
    <row r="125" spans="1:14" ht="11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N125" s="3"/>
    </row>
    <row r="126" spans="1:14" ht="11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N126" s="3"/>
    </row>
    <row r="127" spans="1:14" ht="11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N127" s="3"/>
    </row>
    <row r="128" spans="1:14" ht="11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N128" s="3"/>
    </row>
    <row r="129" spans="1:14" ht="12" thickBot="1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2"/>
    </row>
  </sheetData>
  <sheetProtection password="8A15" sheet="1" objects="1" scenarios="1"/>
  <mergeCells count="97">
    <mergeCell ref="A69:B70"/>
    <mergeCell ref="C69:H70"/>
    <mergeCell ref="I69:J69"/>
    <mergeCell ref="K69:M69"/>
    <mergeCell ref="I70:J70"/>
    <mergeCell ref="K70:M70"/>
    <mergeCell ref="K67:M67"/>
    <mergeCell ref="I68:J68"/>
    <mergeCell ref="K68:M68"/>
    <mergeCell ref="N68:N69"/>
    <mergeCell ref="D59:F59"/>
    <mergeCell ref="G59:J59"/>
    <mergeCell ref="K59:M59"/>
    <mergeCell ref="B58:C58"/>
    <mergeCell ref="B59:C59"/>
    <mergeCell ref="D58:F58"/>
    <mergeCell ref="G58:J58"/>
    <mergeCell ref="K58:M58"/>
    <mergeCell ref="I56:M56"/>
    <mergeCell ref="D57:F57"/>
    <mergeCell ref="G57:J57"/>
    <mergeCell ref="K57:M57"/>
    <mergeCell ref="C53:D53"/>
    <mergeCell ref="G52:H52"/>
    <mergeCell ref="G53:H53"/>
    <mergeCell ref="B56:C57"/>
    <mergeCell ref="D56:H56"/>
    <mergeCell ref="I42:J42"/>
    <mergeCell ref="I45:J45"/>
    <mergeCell ref="I46:J46"/>
    <mergeCell ref="C52:D52"/>
    <mergeCell ref="B41:D42"/>
    <mergeCell ref="G45:H45"/>
    <mergeCell ref="G46:H46"/>
    <mergeCell ref="E46:F46"/>
    <mergeCell ref="K20:M20"/>
    <mergeCell ref="B21:C21"/>
    <mergeCell ref="D21:E21"/>
    <mergeCell ref="F21:G21"/>
    <mergeCell ref="H21:J21"/>
    <mergeCell ref="K21:M21"/>
    <mergeCell ref="B20:C20"/>
    <mergeCell ref="D20:E20"/>
    <mergeCell ref="F20:G20"/>
    <mergeCell ref="H20:J20"/>
    <mergeCell ref="F17:G17"/>
    <mergeCell ref="B18:C18"/>
    <mergeCell ref="B19:C19"/>
    <mergeCell ref="D19:E19"/>
    <mergeCell ref="F19:G19"/>
    <mergeCell ref="F11:I11"/>
    <mergeCell ref="F12:G12"/>
    <mergeCell ref="H12:I12"/>
    <mergeCell ref="F13:J13"/>
    <mergeCell ref="F9:I9"/>
    <mergeCell ref="F10:G10"/>
    <mergeCell ref="H10:I10"/>
    <mergeCell ref="J10:M10"/>
    <mergeCell ref="K1:M1"/>
    <mergeCell ref="J7:M7"/>
    <mergeCell ref="F8:G8"/>
    <mergeCell ref="H8:I8"/>
    <mergeCell ref="F7:I7"/>
    <mergeCell ref="K2:M2"/>
    <mergeCell ref="B6:M6"/>
    <mergeCell ref="B7:D7"/>
    <mergeCell ref="E7:E8"/>
    <mergeCell ref="N2:N3"/>
    <mergeCell ref="A3:B4"/>
    <mergeCell ref="C3:H4"/>
    <mergeCell ref="I3:J3"/>
    <mergeCell ref="K3:M3"/>
    <mergeCell ref="I4:J4"/>
    <mergeCell ref="K4:M4"/>
    <mergeCell ref="A1:H2"/>
    <mergeCell ref="I1:J1"/>
    <mergeCell ref="I2:J2"/>
    <mergeCell ref="E33:G35"/>
    <mergeCell ref="E31:G31"/>
    <mergeCell ref="E32:G32"/>
    <mergeCell ref="B16:M16"/>
    <mergeCell ref="H17:J17"/>
    <mergeCell ref="K17:M17"/>
    <mergeCell ref="H19:J19"/>
    <mergeCell ref="K19:M19"/>
    <mergeCell ref="B17:C17"/>
    <mergeCell ref="D17:E17"/>
    <mergeCell ref="E37:G39"/>
    <mergeCell ref="A67:H68"/>
    <mergeCell ref="I67:J67"/>
    <mergeCell ref="B45:D46"/>
    <mergeCell ref="E41:F41"/>
    <mergeCell ref="G41:H41"/>
    <mergeCell ref="E42:F42"/>
    <mergeCell ref="G42:H42"/>
    <mergeCell ref="E45:F45"/>
    <mergeCell ref="I41:J41"/>
  </mergeCells>
  <dataValidations count="2">
    <dataValidation allowBlank="1" showInputMessage="1" showErrorMessage="1" prompt="Please input data in detailed calculations sheet" sqref="J13:K13 J6:M11 B6:I13"/>
    <dataValidation allowBlank="1" showInputMessage="1" showErrorMessage="1" prompt="Please input data in detailed calculation sheet" sqref="D18:M18"/>
  </dataValidations>
  <printOptions horizontalCentered="1" verticalCentered="1"/>
  <pageMargins left="0.7480314960629921" right="0.35433070866141736" top="0.3937007874015748" bottom="0.3937007874015748" header="0.2362204724409449" footer="0.5118110236220472"/>
  <pageSetup horizontalDpi="360" verticalDpi="360" orientation="portrait" paperSize="9" r:id="rId5"/>
  <drawing r:id="rId4"/>
  <legacyDrawing r:id="rId3"/>
  <oleObjects>
    <oleObject progId="Equation.3" shapeId="791523" r:id="rId1"/>
    <oleObject progId="Equation.3" shapeId="8023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 Dowell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Abdulhameed Arwani</dc:creator>
  <cp:keywords/>
  <dc:description/>
  <cp:lastModifiedBy>Manoj Kumar Singh</cp:lastModifiedBy>
  <cp:lastPrinted>2000-04-29T11:15:46Z</cp:lastPrinted>
  <dcterms:created xsi:type="dcterms:W3CDTF">1999-04-04T10:25:34Z</dcterms:created>
  <dcterms:modified xsi:type="dcterms:W3CDTF">2016-07-20T14:28:35Z</dcterms:modified>
  <cp:category/>
  <cp:version/>
  <cp:contentType/>
  <cp:contentStatus/>
</cp:coreProperties>
</file>