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1655" windowHeight="6195" tabRatio="796" firstSheet="1" activeTab="1"/>
  </bookViews>
  <sheets>
    <sheet name="Slab" sheetId="1" r:id="rId1"/>
    <sheet name="Beam1" sheetId="2" r:id="rId2"/>
    <sheet name="Summary" sheetId="3" r:id="rId3"/>
    <sheet name="Deflection Check" sheetId="4" r:id="rId4"/>
    <sheet name="Uniaxial column" sheetId="5" r:id="rId5"/>
    <sheet name="Ties, Lapsplice" sheetId="6" r:id="rId6"/>
    <sheet name="Interaction Diagram" sheetId="7" r:id="rId7"/>
    <sheet name="Footing" sheetId="8" r:id="rId8"/>
    <sheet name="Column" sheetId="9" r:id="rId9"/>
    <sheet name="Combined Footing" sheetId="10" r:id="rId10"/>
  </sheets>
  <definedNames>
    <definedName name="a" localSheetId="0">'Slab'!$I$13</definedName>
    <definedName name="a">#REF!</definedName>
    <definedName name="aaa">#REF!</definedName>
    <definedName name="aaaaa">#REF!</definedName>
    <definedName name="Ab" localSheetId="0">'Slab'!$E$14</definedName>
    <definedName name="Ab">#REF!</definedName>
    <definedName name="Abb" localSheetId="0">#REF!</definedName>
    <definedName name="Abb">#REF!</definedName>
    <definedName name="Am">#REF!</definedName>
    <definedName name="Amax" localSheetId="0">'Slab'!$D$27</definedName>
    <definedName name="Amax">#REF!</definedName>
    <definedName name="Amin" localSheetId="0">'Slab'!$D$28</definedName>
    <definedName name="Amin">#REF!</definedName>
    <definedName name="As">#REF!</definedName>
    <definedName name="Asm">#REF!</definedName>
    <definedName name="b" localSheetId="0">'Slab'!$D$26</definedName>
    <definedName name="b">#REF!</definedName>
    <definedName name="bb">#REF!</definedName>
    <definedName name="be">#REF!</definedName>
    <definedName name="Beta">#REF!</definedName>
    <definedName name="bw">#REF!</definedName>
    <definedName name="cad" localSheetId="0">'Slab'!$I$9</definedName>
    <definedName name="cad">#REF!</definedName>
    <definedName name="cal" localSheetId="0">'Slab'!$I$11</definedName>
    <definedName name="cal">#REF!</definedName>
    <definedName name="can" localSheetId="0">'Slab'!$I$7</definedName>
    <definedName name="can">#REF!</definedName>
    <definedName name="Cb">'Uniaxial column'!#REF!</definedName>
    <definedName name="cbd" localSheetId="0">'Slab'!$I$10</definedName>
    <definedName name="cbd">#REF!</definedName>
    <definedName name="cbl" localSheetId="0">'Slab'!$I$12</definedName>
    <definedName name="cbl">#REF!</definedName>
    <definedName name="cbn" localSheetId="0">'Slab'!$I$8</definedName>
    <definedName name="cbn">#REF!</definedName>
    <definedName name="cc">#REF!</definedName>
    <definedName name="Ch">#REF!</definedName>
    <definedName name="CN" localSheetId="0">'Slab'!$D$5</definedName>
    <definedName name="CN">#REF!</definedName>
    <definedName name="Cna" localSheetId="0">'Slab'!$J$6</definedName>
    <definedName name="Cna">#REF!</definedName>
    <definedName name="Cnb" localSheetId="0">'Slab'!$J$7</definedName>
    <definedName name="Cnb">#REF!</definedName>
    <definedName name="Co">'Uniaxial column'!#REF!</definedName>
    <definedName name="d">#REF!</definedName>
    <definedName name="da" localSheetId="0">'Slab'!$D$24</definedName>
    <definedName name="da">#REF!</definedName>
    <definedName name="db" localSheetId="0">'Slab'!$D$25</definedName>
    <definedName name="db">#REF!</definedName>
    <definedName name="dl" localSheetId="0">'Slab'!$D$10</definedName>
    <definedName name="dl">#REF!</definedName>
    <definedName name="ds">'Uniaxial column'!$E$10</definedName>
    <definedName name="eu">'Uniaxial column'!$E$14</definedName>
    <definedName name="ey">'Uniaxial column'!#REF!</definedName>
    <definedName name="fc" localSheetId="0">'Slab'!$D$8</definedName>
    <definedName name="fc">#REF!</definedName>
    <definedName name="fcb">#REF!</definedName>
    <definedName name="fy" localSheetId="0">'Slab'!$D$9</definedName>
    <definedName name="fy">#REF!</definedName>
    <definedName name="fyb">#REF!</definedName>
    <definedName name="h" localSheetId="0">'Slab'!$D$13</definedName>
    <definedName name="h">#REF!</definedName>
    <definedName name="hb">#REF!</definedName>
    <definedName name="hf">#REF!</definedName>
    <definedName name="hm">#REF!</definedName>
    <definedName name="hs">#REF!</definedName>
    <definedName name="if" localSheetId="0">'Slab'!$J$5</definedName>
    <definedName name="if">#REF!</definedName>
    <definedName name="la" localSheetId="0">'Slab'!$D$6</definedName>
    <definedName name="la">#REF!</definedName>
    <definedName name="lb" localSheetId="0">'Slab'!$D$7</definedName>
    <definedName name="lb">#REF!</definedName>
    <definedName name="ll" localSheetId="0">'Slab'!$D$11</definedName>
    <definedName name="ll">#REF!</definedName>
    <definedName name="ln">#REF!</definedName>
    <definedName name="m" localSheetId="0">'Slab'!$I$6</definedName>
    <definedName name="m">#REF!</definedName>
    <definedName name="Man" localSheetId="0">'Slab'!$H$18</definedName>
    <definedName name="Man">#REF!</definedName>
    <definedName name="map" localSheetId="0">'Slab'!$H$20</definedName>
    <definedName name="map">#REF!</definedName>
    <definedName name="Mbn" localSheetId="0">'Slab'!$H$19</definedName>
    <definedName name="Mbn">#REF!</definedName>
    <definedName name="mbp" localSheetId="0">'Slab'!$H$21</definedName>
    <definedName name="mbp">#REF!</definedName>
    <definedName name="Mu">#REF!</definedName>
    <definedName name="n" localSheetId="0">'Slab'!$D$14</definedName>
    <definedName name="n">#REF!</definedName>
    <definedName name="nb" localSheetId="0">#REF!</definedName>
    <definedName name="nb">#REF!</definedName>
    <definedName name="Nm">#REF!</definedName>
    <definedName name="Nr">'Uniaxial column'!$E$13</definedName>
    <definedName name="Ns">#REF!</definedName>
    <definedName name="p">#REF!</definedName>
    <definedName name="_xlnm.Print_Area" localSheetId="0">'Slab'!$B$2:$I$36</definedName>
    <definedName name="Pu">'Uniaxial column'!$E$4</definedName>
    <definedName name="Ran2" localSheetId="0">'Slab'!$K$19:$K$29</definedName>
    <definedName name="Ran2">#REF!</definedName>
    <definedName name="Range1" localSheetId="0">'Slab'!$K$6:$K$16</definedName>
    <definedName name="Range1">#REF!</definedName>
    <definedName name="Range2" localSheetId="0">'Slab'!$K$19:$K$29</definedName>
    <definedName name="Range2">#REF!</definedName>
    <definedName name="Range3" localSheetId="0">'Slab'!$K$32:$K$42</definedName>
    <definedName name="Range3">#REF!</definedName>
    <definedName name="Range4" localSheetId="0">'Slab'!$K$45:$K$55</definedName>
    <definedName name="Range4">#REF!</definedName>
    <definedName name="Rb">#REF!</definedName>
    <definedName name="s">'Uniaxial column'!#REF!</definedName>
    <definedName name="Sm" localSheetId="0">'Slab'!$D$29</definedName>
    <definedName name="Sm">#REF!</definedName>
    <definedName name="t" localSheetId="0">'Slab'!$J$4</definedName>
    <definedName name="t">#REF!</definedName>
    <definedName name="Tab11" localSheetId="0">'Slab'!$J$9</definedName>
    <definedName name="Tab11">#REF!</definedName>
    <definedName name="Tab12" localSheetId="0">'Slab'!$J$10</definedName>
    <definedName name="Tab12">#REF!</definedName>
    <definedName name="Tab21" localSheetId="0">'Slab'!$J$25</definedName>
    <definedName name="Tab21">#REF!</definedName>
    <definedName name="Tab22" localSheetId="0">'Slab'!$J$26</definedName>
    <definedName name="Tab22">#REF!</definedName>
    <definedName name="Tab31" localSheetId="0">'Slab'!$J$35</definedName>
    <definedName name="Tab31">#REF!</definedName>
    <definedName name="Tab32" localSheetId="0">'Slab'!$J$36</definedName>
    <definedName name="Tab32">#REF!</definedName>
    <definedName name="Tab41" localSheetId="0">'Slab'!$J$48</definedName>
    <definedName name="Tab41">#REF!</definedName>
    <definedName name="Table1" localSheetId="0">'Slab'!$K$6:$AC$16</definedName>
    <definedName name="Table1">#REF!</definedName>
    <definedName name="Table2" localSheetId="0">'Slab'!$K$19:$AC$29</definedName>
    <definedName name="Table2">#REF!</definedName>
    <definedName name="Table3" localSheetId="0">'Slab'!$K$32:$AC$42</definedName>
    <definedName name="Table3">#REF!</definedName>
    <definedName name="Table4" localSheetId="0">'Slab'!$K$45:$T$55</definedName>
    <definedName name="Table4">#REF!</definedName>
    <definedName name="Test2" localSheetId="0">'Slab'!$K$19:$AC$29</definedName>
    <definedName name="Test2">#REF!</definedName>
    <definedName name="wa" localSheetId="0">'Slab'!$I$13</definedName>
    <definedName name="wa">#REF!</definedName>
    <definedName name="wb" localSheetId="0">'Slab'!$I$14</definedName>
    <definedName name="wb">#REF!</definedName>
    <definedName name="wdl" localSheetId="0">'Slab'!$D$18</definedName>
    <definedName name="wdl">#REF!</definedName>
    <definedName name="wll" localSheetId="0">'Slab'!$D$19</definedName>
    <definedName name="wll">#REF!</definedName>
    <definedName name="wu" localSheetId="0">'Slab'!$D$20</definedName>
    <definedName name="wu">#REF!</definedName>
  </definedNames>
  <calcPr fullCalcOnLoad="1"/>
</workbook>
</file>

<file path=xl/sharedStrings.xml><?xml version="1.0" encoding="utf-8"?>
<sst xmlns="http://schemas.openxmlformats.org/spreadsheetml/2006/main" count="863" uniqueCount="428">
  <si>
    <t>Design of two-way slab</t>
  </si>
  <si>
    <t>Input data:</t>
  </si>
  <si>
    <t>la</t>
  </si>
  <si>
    <t>lb</t>
  </si>
  <si>
    <t>f'c</t>
  </si>
  <si>
    <t>fy</t>
  </si>
  <si>
    <t>LL</t>
  </si>
  <si>
    <t>=</t>
  </si>
  <si>
    <t>DL add</t>
  </si>
  <si>
    <t>ACI Moment Coefficients</t>
  </si>
  <si>
    <t>DL wu</t>
  </si>
  <si>
    <t>LL wu</t>
  </si>
  <si>
    <t>TL wu</t>
  </si>
  <si>
    <t>ft</t>
  </si>
  <si>
    <t>ksi</t>
  </si>
  <si>
    <t>in</t>
  </si>
  <si>
    <t>h, used</t>
  </si>
  <si>
    <t>h, cal</t>
  </si>
  <si>
    <t>Loads Calculation:</t>
  </si>
  <si>
    <t>Moments Calculation:</t>
  </si>
  <si>
    <t>Ma(-ve)</t>
  </si>
  <si>
    <t>Mb(-ve)</t>
  </si>
  <si>
    <t>Ma(+ve)</t>
  </si>
  <si>
    <t>Mb(+ve)</t>
  </si>
  <si>
    <t>k-in</t>
  </si>
  <si>
    <t>Steel Calculation:</t>
  </si>
  <si>
    <t>Moments</t>
  </si>
  <si>
    <t>A</t>
  </si>
  <si>
    <t>Table 1 [-ve Moment]</t>
  </si>
  <si>
    <t>m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</si>
  <si>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</si>
  <si>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</si>
  <si>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</si>
  <si>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</si>
  <si>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</si>
  <si>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</si>
  <si>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</si>
  <si>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</si>
  <si>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</si>
  <si>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Table 2 [+ve Moment DL]</t>
  </si>
  <si>
    <t>Table 3 [+ve Moment LL]</t>
  </si>
  <si>
    <t>Ratio of Loads for Wa</t>
  </si>
  <si>
    <t>Wa</t>
  </si>
  <si>
    <t>Wb</t>
  </si>
  <si>
    <t>Case No</t>
  </si>
  <si>
    <t>Dotted Line Shows Continuous Edge</t>
  </si>
  <si>
    <t>Load Transfer:</t>
  </si>
  <si>
    <t>Load Transfer To Shorter Beam =</t>
  </si>
  <si>
    <t>Load Transfer To Longer Beam  =</t>
  </si>
  <si>
    <t>k/ft</t>
  </si>
  <si>
    <t>#4(in c/c)</t>
  </si>
  <si>
    <t>#3(in c/c)</t>
  </si>
  <si>
    <t>Panel No   =</t>
  </si>
  <si>
    <r>
      <t>Ca</t>
    </r>
    <r>
      <rPr>
        <vertAlign val="subscript"/>
        <sz val="8"/>
        <rFont val="Courier New"/>
        <family val="3"/>
      </rPr>
      <t>neg</t>
    </r>
  </si>
  <si>
    <r>
      <t>Cb</t>
    </r>
    <r>
      <rPr>
        <vertAlign val="subscript"/>
        <sz val="8"/>
        <rFont val="Courier New"/>
        <family val="3"/>
      </rPr>
      <t>neg</t>
    </r>
  </si>
  <si>
    <r>
      <t>Ca</t>
    </r>
    <r>
      <rPr>
        <vertAlign val="subscript"/>
        <sz val="8"/>
        <rFont val="Courier New"/>
        <family val="3"/>
      </rPr>
      <t>dl</t>
    </r>
  </si>
  <si>
    <r>
      <t>k/ft</t>
    </r>
    <r>
      <rPr>
        <vertAlign val="superscript"/>
        <sz val="8"/>
        <rFont val="Courier New"/>
        <family val="3"/>
      </rPr>
      <t>2</t>
    </r>
  </si>
  <si>
    <r>
      <t>Cb</t>
    </r>
    <r>
      <rPr>
        <vertAlign val="subscript"/>
        <sz val="8"/>
        <rFont val="Courier New"/>
        <family val="3"/>
      </rPr>
      <t>dl</t>
    </r>
  </si>
  <si>
    <r>
      <t>Ca</t>
    </r>
    <r>
      <rPr>
        <vertAlign val="subscript"/>
        <sz val="8"/>
        <rFont val="Courier New"/>
        <family val="3"/>
      </rPr>
      <t>ll</t>
    </r>
  </si>
  <si>
    <r>
      <t>Cb</t>
    </r>
    <r>
      <rPr>
        <vertAlign val="subscript"/>
        <sz val="8"/>
        <rFont val="Courier New"/>
        <family val="3"/>
      </rPr>
      <t>ll</t>
    </r>
  </si>
  <si>
    <r>
      <t>d</t>
    </r>
    <r>
      <rPr>
        <vertAlign val="subscript"/>
        <sz val="8"/>
        <rFont val="Courier New"/>
        <family val="3"/>
      </rPr>
      <t>a</t>
    </r>
  </si>
  <si>
    <r>
      <t>As</t>
    </r>
    <r>
      <rPr>
        <vertAlign val="subscript"/>
        <sz val="8"/>
        <color indexed="16"/>
        <rFont val="Courier New"/>
        <family val="3"/>
      </rPr>
      <t>req</t>
    </r>
  </si>
  <si>
    <r>
      <t>d</t>
    </r>
    <r>
      <rPr>
        <vertAlign val="subscript"/>
        <sz val="8"/>
        <rFont val="Courier New"/>
        <family val="3"/>
      </rPr>
      <t>b</t>
    </r>
  </si>
  <si>
    <r>
      <t>b</t>
    </r>
    <r>
      <rPr>
        <vertAlign val="subscript"/>
        <sz val="8"/>
        <rFont val="Symbol"/>
        <family val="1"/>
      </rPr>
      <t>1</t>
    </r>
  </si>
  <si>
    <r>
      <t>As</t>
    </r>
    <r>
      <rPr>
        <vertAlign val="subscript"/>
        <sz val="8"/>
        <rFont val="Courier New"/>
        <family val="3"/>
      </rPr>
      <t>max</t>
    </r>
  </si>
  <si>
    <r>
      <t>in</t>
    </r>
    <r>
      <rPr>
        <vertAlign val="superscript"/>
        <sz val="8"/>
        <rFont val="Courier New"/>
        <family val="3"/>
      </rPr>
      <t>2</t>
    </r>
  </si>
  <si>
    <r>
      <t>As</t>
    </r>
    <r>
      <rPr>
        <vertAlign val="subscript"/>
        <sz val="8"/>
        <rFont val="Courier New"/>
        <family val="3"/>
      </rPr>
      <t>min</t>
    </r>
  </si>
  <si>
    <r>
      <t>S</t>
    </r>
    <r>
      <rPr>
        <vertAlign val="subscript"/>
        <sz val="8"/>
        <rFont val="Courier New"/>
        <family val="3"/>
      </rPr>
      <t>max</t>
    </r>
  </si>
  <si>
    <t xml:space="preserve">S1 </t>
  </si>
  <si>
    <t>Input Data</t>
  </si>
  <si>
    <t>fc'</t>
  </si>
  <si>
    <t>Dimensions</t>
  </si>
  <si>
    <t>Strengths</t>
  </si>
  <si>
    <t>a</t>
  </si>
  <si>
    <t>Deflections in Beams</t>
  </si>
  <si>
    <t>Immediate Deflection</t>
  </si>
  <si>
    <t>Value of K</t>
  </si>
  <si>
    <t>Simple Beams</t>
  </si>
  <si>
    <t>Continous Beams</t>
  </si>
  <si>
    <t>Cantilever(Deflection due to Rotataions at Support not included)</t>
  </si>
  <si>
    <t>Fixed-Hinged Beams(Mid Span Deflection)</t>
  </si>
  <si>
    <t>Fixed-Hinged Beams(Max Deflection using Max Moments)</t>
  </si>
  <si>
    <t>Case</t>
  </si>
  <si>
    <t>Beam Type</t>
  </si>
  <si>
    <t>K</t>
  </si>
  <si>
    <t>Fixed-Fixed Beams</t>
  </si>
  <si>
    <t>Refrence: PCA Notes on ACI 318-02</t>
  </si>
  <si>
    <t>Ec</t>
  </si>
  <si>
    <t>Column Size</t>
  </si>
  <si>
    <t>Beam Size</t>
  </si>
  <si>
    <t>wc</t>
  </si>
  <si>
    <t>psi</t>
  </si>
  <si>
    <t>pcf</t>
  </si>
  <si>
    <t>Es</t>
  </si>
  <si>
    <t>Ig</t>
  </si>
  <si>
    <t>n</t>
  </si>
  <si>
    <t>Cx</t>
  </si>
  <si>
    <t>Cy</t>
  </si>
  <si>
    <t>h</t>
  </si>
  <si>
    <t>bw</t>
  </si>
  <si>
    <t>hf</t>
  </si>
  <si>
    <t>As</t>
  </si>
  <si>
    <t>Reinforcements</t>
  </si>
  <si>
    <t>Unit Weight of Concrete</t>
  </si>
  <si>
    <t>Concrete Strength</t>
  </si>
  <si>
    <t>Modulus of Elasticity of Concrete</t>
  </si>
  <si>
    <t>Rebar Strength</t>
  </si>
  <si>
    <t>Modulus of Elasticity of Rebars</t>
  </si>
  <si>
    <t>Modular Ratio</t>
  </si>
  <si>
    <t>Bottom Steel in Beam</t>
  </si>
  <si>
    <t>Top Steel in Beam</t>
  </si>
  <si>
    <t>As'</t>
  </si>
  <si>
    <t>Top Steel in Slab</t>
  </si>
  <si>
    <t>Ast</t>
  </si>
  <si>
    <t>Bottom Steel in Slab</t>
  </si>
  <si>
    <t>Asb</t>
  </si>
  <si>
    <t>in^2</t>
  </si>
  <si>
    <t>C</t>
  </si>
  <si>
    <t>f</t>
  </si>
  <si>
    <t>yt</t>
  </si>
  <si>
    <t>hc</t>
  </si>
  <si>
    <t>be</t>
  </si>
  <si>
    <t>Slab Size</t>
  </si>
  <si>
    <t>hw</t>
  </si>
  <si>
    <t>ln</t>
  </si>
  <si>
    <t>lc</t>
  </si>
  <si>
    <t>kd</t>
  </si>
  <si>
    <t>without compression steel</t>
  </si>
  <si>
    <t>d</t>
  </si>
  <si>
    <t>c.c</t>
  </si>
  <si>
    <t>Icr</t>
  </si>
  <si>
    <t>Loads</t>
  </si>
  <si>
    <t>DL</t>
  </si>
  <si>
    <t>lb/ft</t>
  </si>
  <si>
    <t>p</t>
  </si>
  <si>
    <t>Moment Calculation</t>
  </si>
  <si>
    <t>Md</t>
  </si>
  <si>
    <t>in-kips</t>
  </si>
  <si>
    <t>Ml</t>
  </si>
  <si>
    <t>M(d+l)</t>
  </si>
  <si>
    <t>Clear Distance b/w Beams</t>
  </si>
  <si>
    <t>lbn</t>
  </si>
  <si>
    <t>c/c Distance b/w Beams</t>
  </si>
  <si>
    <t>lbc</t>
  </si>
  <si>
    <t>Mcr</t>
  </si>
  <si>
    <t>in^4</t>
  </si>
  <si>
    <t>Ie Calculation</t>
  </si>
  <si>
    <t>Ie(d)</t>
  </si>
  <si>
    <t>Ie(d+l)</t>
  </si>
  <si>
    <t>∆i(d)</t>
  </si>
  <si>
    <t>∆i(d+l)</t>
  </si>
  <si>
    <t>∆i(l)</t>
  </si>
  <si>
    <t>Long Term Deflection</t>
  </si>
  <si>
    <t>p'</t>
  </si>
  <si>
    <t>∆(cr+shr)</t>
  </si>
  <si>
    <t>ξ</t>
  </si>
  <si>
    <t>λ</t>
  </si>
  <si>
    <t>Duration</t>
  </si>
  <si>
    <t>1/4 Years</t>
  </si>
  <si>
    <t>1/2 Year</t>
  </si>
  <si>
    <t>1 Year</t>
  </si>
  <si>
    <t>5 Year</t>
  </si>
  <si>
    <t>∆i(sus)</t>
  </si>
  <si>
    <t>%Sus LL</t>
  </si>
  <si>
    <t>M(sus)</t>
  </si>
  <si>
    <t>Wsus</t>
  </si>
  <si>
    <t>Ie(sus)</t>
  </si>
  <si>
    <t>SL</t>
  </si>
  <si>
    <t>D+L</t>
  </si>
  <si>
    <t>Ag</t>
  </si>
  <si>
    <t>TDL</t>
  </si>
  <si>
    <t>Dead Load</t>
  </si>
  <si>
    <t>Self Load</t>
  </si>
  <si>
    <t>Total Dead Load</t>
  </si>
  <si>
    <t>Live Load</t>
  </si>
  <si>
    <t>Percentage of Sustained Live Load</t>
  </si>
  <si>
    <t>Dead + Live</t>
  </si>
  <si>
    <t>∆i(l)+∆(cr+shr)</t>
  </si>
  <si>
    <t>Deflection due to Dead Load</t>
  </si>
  <si>
    <t>Deflection due to Dead + Live</t>
  </si>
  <si>
    <t>Deflection due to Live</t>
  </si>
  <si>
    <t>Deflection due to Sustained Load(DL +0.5LL)</t>
  </si>
  <si>
    <t>Moment due to Dead + Live</t>
  </si>
  <si>
    <t>Moment due to Live Load</t>
  </si>
  <si>
    <t>Moment due to Total Sustain Load</t>
  </si>
  <si>
    <t>Total Sustain Load</t>
  </si>
  <si>
    <t>Critical Moment</t>
  </si>
  <si>
    <t>Effective Moment of Inertia due to Dead Load</t>
  </si>
  <si>
    <t>Effective Moment of Inertia due to Dead + Live Load</t>
  </si>
  <si>
    <t>Moment due to Dead Load</t>
  </si>
  <si>
    <t>Effective Moment of Inertia due to Total Sustain Load</t>
  </si>
  <si>
    <t>Determination of Ie Parameters</t>
  </si>
  <si>
    <t>Colum</t>
  </si>
  <si>
    <t>C1</t>
  </si>
  <si>
    <t>C2</t>
  </si>
  <si>
    <t>Material</t>
  </si>
  <si>
    <t>Floor Thickness</t>
  </si>
  <si>
    <t>Fill</t>
  </si>
  <si>
    <t>Floor Loading</t>
  </si>
  <si>
    <t>psf</t>
  </si>
  <si>
    <t>Bearing Capacity</t>
  </si>
  <si>
    <t>Allowable Net Pressure</t>
  </si>
  <si>
    <t>qn</t>
  </si>
  <si>
    <t>Say</t>
  </si>
  <si>
    <t>DL on Column</t>
  </si>
  <si>
    <t>kips</t>
  </si>
  <si>
    <t>LL on Column</t>
  </si>
  <si>
    <t>Area Required</t>
  </si>
  <si>
    <t>ksf</t>
  </si>
  <si>
    <t>ft^2</t>
  </si>
  <si>
    <t>B</t>
  </si>
  <si>
    <t>Width of Footing</t>
  </si>
  <si>
    <t>Factored Net Soil Pressure</t>
  </si>
  <si>
    <t>qf</t>
  </si>
  <si>
    <t>Check the thickness for punching shear</t>
  </si>
  <si>
    <t>Punching Area</t>
  </si>
  <si>
    <t>Ap</t>
  </si>
  <si>
    <t>Vu</t>
  </si>
  <si>
    <t>Critical Perimeter</t>
  </si>
  <si>
    <t>bo</t>
  </si>
  <si>
    <t>Punching Shear Capacity</t>
  </si>
  <si>
    <t>Punching Shear Demand</t>
  </si>
  <si>
    <t>Bc</t>
  </si>
  <si>
    <t>Beta c</t>
  </si>
  <si>
    <t>phi Vc</t>
  </si>
  <si>
    <t>Alpha</t>
  </si>
  <si>
    <t>Interior</t>
  </si>
  <si>
    <t>Column</t>
  </si>
  <si>
    <t>Edge</t>
  </si>
  <si>
    <t>Corner</t>
  </si>
  <si>
    <t>OK if phi Vc &gt; Vu otherwise increase thickness</t>
  </si>
  <si>
    <t>Shear Demand</t>
  </si>
  <si>
    <t>Beam Shear Width</t>
  </si>
  <si>
    <t>Shear Capacity</t>
  </si>
  <si>
    <t>Check the thickness for one way shear</t>
  </si>
  <si>
    <t>Mu</t>
  </si>
  <si>
    <t>kip-ft</t>
  </si>
  <si>
    <t>Design of Reinforcment</t>
  </si>
  <si>
    <t>Area of Steel Required</t>
  </si>
  <si>
    <t>Asmin</t>
  </si>
  <si>
    <t>Moment Demand</t>
  </si>
  <si>
    <t>Check a/d with table A-4 for phi</t>
  </si>
  <si>
    <t>phi</t>
  </si>
  <si>
    <t>phi Mn</t>
  </si>
  <si>
    <t>Bar #</t>
  </si>
  <si>
    <t>Bar Area</t>
  </si>
  <si>
    <t>Try</t>
  </si>
  <si>
    <t>&gt;</t>
  </si>
  <si>
    <t>Square Footing Inputs</t>
  </si>
  <si>
    <t>Wu</t>
  </si>
  <si>
    <t>Depth of footing</t>
  </si>
  <si>
    <t>Z</t>
  </si>
  <si>
    <t>SDL</t>
  </si>
  <si>
    <t>Vup</t>
  </si>
  <si>
    <t>Assume Thickness of footing equal to 1 to 2times column dimension</t>
  </si>
  <si>
    <t>Spacing of Bars</t>
  </si>
  <si>
    <t>#</t>
  </si>
  <si>
    <t>@</t>
  </si>
  <si>
    <t>in c/c</t>
  </si>
  <si>
    <t>Pass word : "A"</t>
  </si>
  <si>
    <t>Short Concrete Column Designer</t>
  </si>
  <si>
    <t>Bar No.</t>
  </si>
  <si>
    <t>Factored Load, Pu</t>
  </si>
  <si>
    <t>:</t>
  </si>
  <si>
    <r>
      <t>Φ</t>
    </r>
    <r>
      <rPr>
        <vertAlign val="subscript"/>
        <sz val="10"/>
        <rFont val="Trebuchet MS"/>
        <family val="2"/>
      </rPr>
      <t>c</t>
    </r>
  </si>
  <si>
    <t>Factored Moment, Mu</t>
  </si>
  <si>
    <t>kips-inch</t>
  </si>
  <si>
    <r>
      <t>Φ</t>
    </r>
    <r>
      <rPr>
        <vertAlign val="subscript"/>
        <sz val="10"/>
        <rFont val="Trebuchet MS"/>
        <family val="2"/>
      </rPr>
      <t>b</t>
    </r>
  </si>
  <si>
    <t>Concrete Strength, fc'</t>
  </si>
  <si>
    <t>α</t>
  </si>
  <si>
    <t>Steel Yield Strength, fy</t>
  </si>
  <si>
    <t>For Straight Portion</t>
  </si>
  <si>
    <t>Column Width, b</t>
  </si>
  <si>
    <t>inch</t>
  </si>
  <si>
    <r>
      <t>αΦ</t>
    </r>
    <r>
      <rPr>
        <vertAlign val="subscript"/>
        <sz val="10"/>
        <rFont val="Trebuchet MS"/>
        <family val="2"/>
      </rPr>
      <t>c</t>
    </r>
    <r>
      <rPr>
        <sz val="10"/>
        <rFont val="Trebuchet MS"/>
        <family val="2"/>
      </rPr>
      <t>Po</t>
    </r>
  </si>
  <si>
    <t>Column Depth, h</t>
  </si>
  <si>
    <t>ΦMn</t>
  </si>
  <si>
    <t>Tie Bars Diameter, ds</t>
  </si>
  <si>
    <t>Long Bars Diameter, db</t>
  </si>
  <si>
    <t>ΦMo</t>
  </si>
  <si>
    <t>Concrete Clear Cover, cc</t>
  </si>
  <si>
    <t>ΦMb</t>
  </si>
  <si>
    <t>No. of Rows</t>
  </si>
  <si>
    <t>-</t>
  </si>
  <si>
    <t>ΦPb</t>
  </si>
  <si>
    <r>
      <t xml:space="preserve">Concrete Failure Strain, </t>
    </r>
    <r>
      <rPr>
        <sz val="10"/>
        <rFont val="Times New Roman"/>
        <family val="1"/>
      </rPr>
      <t>Є</t>
    </r>
    <r>
      <rPr>
        <vertAlign val="subscript"/>
        <sz val="10"/>
        <rFont val="Times New Roman"/>
        <family val="1"/>
      </rPr>
      <t>u</t>
    </r>
  </si>
  <si>
    <t>in/in</t>
  </si>
  <si>
    <t>Trail Bars Detail :</t>
  </si>
  <si>
    <t>Row No.</t>
  </si>
  <si>
    <t>No. of Bars</t>
  </si>
  <si>
    <t>Bar No</t>
  </si>
  <si>
    <t>Bar Area, Ab</t>
  </si>
  <si>
    <t>Pn</t>
  </si>
  <si>
    <t>Mn</t>
  </si>
  <si>
    <t>Φ</t>
  </si>
  <si>
    <t>ΦPn</t>
  </si>
  <si>
    <t>Dia of Main Bar(in)</t>
  </si>
  <si>
    <t>Shear Reinforcment</t>
  </si>
  <si>
    <t>Spacing</t>
  </si>
  <si>
    <t>Using #3, 2-Legged Stirrup</t>
  </si>
  <si>
    <t>No. of Legs</t>
  </si>
  <si>
    <t>Av</t>
  </si>
  <si>
    <t>Max Spacing</t>
  </si>
  <si>
    <t>Design Spacing</t>
  </si>
  <si>
    <t>inches</t>
  </si>
  <si>
    <t>c/c</t>
  </si>
  <si>
    <t>Spacing of Tie Bars in Lap Splice</t>
  </si>
  <si>
    <t>d1</t>
  </si>
  <si>
    <t>d2</t>
  </si>
  <si>
    <t>Spacing of Tie Bars in Joints</t>
  </si>
  <si>
    <t>Spacing of Tie Bar using #3 bar</t>
  </si>
  <si>
    <t>Dia of Tie Bar(#3, #4)(in)</t>
  </si>
  <si>
    <t>Depth of Beam</t>
  </si>
  <si>
    <t>Clear Span of Column</t>
  </si>
  <si>
    <t>Height of Column</t>
  </si>
  <si>
    <t>H</t>
  </si>
  <si>
    <t xml:space="preserve">within </t>
  </si>
  <si>
    <t>Lo =</t>
  </si>
  <si>
    <t>on each side of column</t>
  </si>
  <si>
    <t>Spacing of Tie Bar using #4 bar</t>
  </si>
  <si>
    <t xml:space="preserve">with </t>
  </si>
  <si>
    <t xml:space="preserve">Lap Length of </t>
  </si>
  <si>
    <t>Development Length of Beam Bar in Column</t>
  </si>
  <si>
    <t>ld</t>
  </si>
  <si>
    <t>Dia Bar</t>
  </si>
  <si>
    <t>Allowable Bearing on Footing</t>
  </si>
  <si>
    <t>Allowable Bearing on the Base of Column</t>
  </si>
  <si>
    <t>Should be great than</t>
  </si>
  <si>
    <t>otherwise provide dowels</t>
  </si>
  <si>
    <t>Pu</t>
  </si>
  <si>
    <t>phi Pn</t>
  </si>
  <si>
    <t>Ab</t>
  </si>
  <si>
    <t>Use</t>
  </si>
  <si>
    <t>Bars</t>
  </si>
  <si>
    <t>MT2</t>
  </si>
  <si>
    <t>M2</t>
  </si>
  <si>
    <t>MT1</t>
  </si>
  <si>
    <t>M1</t>
  </si>
  <si>
    <t>1st Floor</t>
  </si>
  <si>
    <t>#4 @ 6in c/c</t>
  </si>
  <si>
    <t>#4 @ 9in c/c</t>
  </si>
  <si>
    <t>2nd Floor</t>
  </si>
  <si>
    <t>Roof</t>
  </si>
  <si>
    <t>Exterior Column</t>
  </si>
  <si>
    <t>Interior Column</t>
  </si>
  <si>
    <t>c/c Distance b/w Columns</t>
  </si>
  <si>
    <t>qall</t>
  </si>
  <si>
    <t>Density of fill</t>
  </si>
  <si>
    <t>Estimate the Size and the Factored Net Pressure</t>
  </si>
  <si>
    <t>Density of Concrete</t>
  </si>
  <si>
    <t>(B12-(B13-B15/12)*B14-B15/12*B16)/1000</t>
  </si>
  <si>
    <t>Resultant of Column Loads is at</t>
  </si>
  <si>
    <t>Footing Length</t>
  </si>
  <si>
    <t>Allowabe Net Pressure(qn)</t>
  </si>
  <si>
    <t>Factored Net Pressure(qnu)</t>
  </si>
  <si>
    <t>Footing Width</t>
  </si>
  <si>
    <t>Shear Force Values</t>
  </si>
  <si>
    <t>Bending Moment Values</t>
  </si>
  <si>
    <t>Check Two-Way Shear at Exterior Column</t>
  </si>
  <si>
    <t>Shear Parameter</t>
  </si>
  <si>
    <t>Side1</t>
  </si>
  <si>
    <t>Side2</t>
  </si>
  <si>
    <t>Side3</t>
  </si>
  <si>
    <t>Side4</t>
  </si>
  <si>
    <t>Determine Thickness of Footing</t>
  </si>
  <si>
    <t>phi*kn</t>
  </si>
  <si>
    <t>Using James G McGragor,Table A-3, Page 872</t>
  </si>
  <si>
    <t>rho</t>
  </si>
  <si>
    <t>ACI Minimum Reinforcment</t>
  </si>
  <si>
    <t>Assume Overall Thickness</t>
  </si>
  <si>
    <t>clear cover</t>
  </si>
  <si>
    <t>Centroid of Shear Area</t>
  </si>
  <si>
    <t>Force due to Soil on Critical Area</t>
  </si>
  <si>
    <t>Centroidal Axis of Shear Parameter from face of Column</t>
  </si>
  <si>
    <t>Centroidal Axis of Shear Parameter from centre of Column</t>
  </si>
  <si>
    <t>kip-in</t>
  </si>
  <si>
    <t>Slab on Grade</t>
  </si>
  <si>
    <t>Grade Beam</t>
  </si>
  <si>
    <t>Slab Reinforcement Detail(6in Thick)</t>
  </si>
  <si>
    <t>Footing Reinforcement Detail(15in Thick)</t>
  </si>
  <si>
    <t>#3 @ 9in c/c</t>
  </si>
  <si>
    <t>#3 @ 6in c/c</t>
  </si>
  <si>
    <t>c/c span</t>
  </si>
  <si>
    <t>beff</t>
  </si>
  <si>
    <t>T-Beam Design</t>
  </si>
  <si>
    <t>Simply Supported</t>
  </si>
  <si>
    <t>One End Continous</t>
  </si>
  <si>
    <t>Both Ends Continous</t>
  </si>
  <si>
    <t>Cantilever</t>
  </si>
  <si>
    <t>hmin(in)</t>
  </si>
  <si>
    <t>L/16</t>
  </si>
  <si>
    <t>L/18.5</t>
  </si>
  <si>
    <t>L/21</t>
  </si>
  <si>
    <t>L/8</t>
  </si>
  <si>
    <t>Support Width</t>
  </si>
  <si>
    <t>Beam Depth</t>
  </si>
  <si>
    <t>Beam Width</t>
  </si>
  <si>
    <t>Slab Thickness</t>
  </si>
  <si>
    <t>c/c distance b/w the beams</t>
  </si>
  <si>
    <t>Support Length</t>
  </si>
  <si>
    <t>L</t>
  </si>
  <si>
    <t>Effective Flange Width</t>
  </si>
  <si>
    <t>clear cover to rebar centre</t>
  </si>
  <si>
    <t>effective depth</t>
  </si>
  <si>
    <t>Loads Calculations</t>
  </si>
  <si>
    <t>Service Dead Load from Slab</t>
  </si>
  <si>
    <t>Beam Self Weigth</t>
  </si>
  <si>
    <t>Concrete Compressive Strength</t>
  </si>
  <si>
    <t>Rebar Yield Strength</t>
  </si>
  <si>
    <t>Wself</t>
  </si>
  <si>
    <t>Total Service Load</t>
  </si>
  <si>
    <t>Ws</t>
  </si>
  <si>
    <t>Total Factored Load</t>
  </si>
  <si>
    <t>Live Load from Slab</t>
  </si>
  <si>
    <t>Bending Moment Calculation</t>
  </si>
  <si>
    <t>Spandrel</t>
  </si>
  <si>
    <t>ACI Moments(kip-ft) for:</t>
  </si>
  <si>
    <t>Discontinous End Unrestrained</t>
  </si>
  <si>
    <t>Clear Span(Exterior)</t>
  </si>
  <si>
    <t>Clear Span(Interior)</t>
  </si>
  <si>
    <t>Ln1</t>
  </si>
  <si>
    <t>Ln2</t>
  </si>
  <si>
    <t>Equivalent Compression Depth</t>
  </si>
  <si>
    <t>Trial-1</t>
  </si>
  <si>
    <t>Trial-2</t>
  </si>
  <si>
    <t>Trial-3</t>
  </si>
  <si>
    <t>Trial-4</t>
  </si>
  <si>
    <t>Provide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</si>
</sst>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\ ???/???"/>
  </numFmts>
  <fonts count="109">
    <font>
      <sz val="10"/>
      <name val="Courier New"/>
      <family val="0"/>
    </font>
    <font>
      <sz val="10"/>
      <color indexed="12"/>
      <name val="Courier New"/>
      <family val="3"/>
    </font>
    <font>
      <u val="single"/>
      <sz val="10"/>
      <name val="Courier New"/>
      <family val="3"/>
    </font>
    <font>
      <b/>
      <u val="single"/>
      <sz val="14"/>
      <name val="Courier New"/>
      <family val="3"/>
    </font>
    <font>
      <b/>
      <sz val="8"/>
      <name val="Courier New"/>
      <family val="3"/>
    </font>
    <font>
      <sz val="8"/>
      <color indexed="10"/>
      <name val="Courier New"/>
      <family val="3"/>
    </font>
    <font>
      <sz val="8"/>
      <name val="Courier New"/>
      <family val="3"/>
    </font>
    <font>
      <b/>
      <sz val="12"/>
      <color indexed="16"/>
      <name val="Courier New"/>
      <family val="3"/>
    </font>
    <font>
      <u val="single"/>
      <sz val="8"/>
      <color indexed="10"/>
      <name val="Courier New"/>
      <family val="3"/>
    </font>
    <font>
      <sz val="8"/>
      <color indexed="12"/>
      <name val="Courier New"/>
      <family val="3"/>
    </font>
    <font>
      <sz val="8"/>
      <color indexed="14"/>
      <name val="Courier New"/>
      <family val="3"/>
    </font>
    <font>
      <vertAlign val="subscript"/>
      <sz val="8"/>
      <name val="Courier New"/>
      <family val="3"/>
    </font>
    <font>
      <vertAlign val="superscript"/>
      <sz val="8"/>
      <name val="Courier New"/>
      <family val="3"/>
    </font>
    <font>
      <sz val="8"/>
      <color indexed="16"/>
      <name val="Courier New"/>
      <family val="3"/>
    </font>
    <font>
      <vertAlign val="subscript"/>
      <sz val="8"/>
      <color indexed="16"/>
      <name val="Courier New"/>
      <family val="3"/>
    </font>
    <font>
      <sz val="8"/>
      <name val="Symbol"/>
      <family val="1"/>
    </font>
    <font>
      <vertAlign val="subscript"/>
      <sz val="8"/>
      <name val="Symbol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10"/>
      <name val="Times New Roman"/>
      <family val="1"/>
    </font>
    <font>
      <sz val="10"/>
      <name val="Trebuchet MS"/>
      <family val="2"/>
    </font>
    <font>
      <b/>
      <u val="single"/>
      <sz val="16"/>
      <name val="Trebuchet MS"/>
      <family val="2"/>
    </font>
    <font>
      <sz val="16"/>
      <name val="Trebuchet MS"/>
      <family val="2"/>
    </font>
    <font>
      <sz val="10"/>
      <color indexed="12"/>
      <name val="Trebuchet MS"/>
      <family val="2"/>
    </font>
    <font>
      <vertAlign val="subscript"/>
      <sz val="10"/>
      <name val="Trebuchet MS"/>
      <family val="2"/>
    </font>
    <font>
      <vertAlign val="subscript"/>
      <sz val="10"/>
      <name val="Times New Roman"/>
      <family val="1"/>
    </font>
    <font>
      <b/>
      <u val="single"/>
      <sz val="10"/>
      <name val="Trebuchet MS"/>
      <family val="2"/>
    </font>
    <font>
      <sz val="10"/>
      <color indexed="14"/>
      <name val="Trebuchet MS"/>
      <family val="2"/>
    </font>
    <font>
      <sz val="12"/>
      <name val="Courier New"/>
      <family val="3"/>
    </font>
    <font>
      <b/>
      <sz val="20"/>
      <name val="Courier New"/>
      <family val="3"/>
    </font>
    <font>
      <b/>
      <sz val="11"/>
      <name val="Courier New"/>
      <family val="3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ourier New"/>
      <family val="3"/>
    </font>
    <font>
      <sz val="10"/>
      <color indexed="9"/>
      <name val="Courier New"/>
      <family val="3"/>
    </font>
    <font>
      <sz val="10"/>
      <color indexed="9"/>
      <name val="Calibri"/>
      <family val="2"/>
    </font>
    <font>
      <sz val="14"/>
      <color indexed="9"/>
      <name val="Courier New"/>
      <family val="3"/>
    </font>
    <font>
      <b/>
      <sz val="14"/>
      <color indexed="9"/>
      <name val="Courier New"/>
      <family val="3"/>
    </font>
    <font>
      <b/>
      <sz val="12"/>
      <color indexed="9"/>
      <name val="Castellar"/>
      <family val="1"/>
    </font>
    <font>
      <b/>
      <sz val="12"/>
      <color indexed="8"/>
      <name val="Castellar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ourier New"/>
      <family val="3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51"/>
      <name val="Courier New"/>
      <family val="3"/>
    </font>
    <font>
      <b/>
      <sz val="12"/>
      <color indexed="56"/>
      <name val="Courier New"/>
      <family val="3"/>
    </font>
    <font>
      <sz val="10"/>
      <color indexed="51"/>
      <name val="Courier New"/>
      <family val="3"/>
    </font>
    <font>
      <b/>
      <sz val="10"/>
      <color indexed="51"/>
      <name val="Courier New"/>
      <family val="3"/>
    </font>
    <font>
      <b/>
      <sz val="14"/>
      <color indexed="51"/>
      <name val="Courier New"/>
      <family val="3"/>
    </font>
    <font>
      <b/>
      <sz val="16"/>
      <color indexed="9"/>
      <name val="Courier New"/>
      <family val="3"/>
    </font>
    <font>
      <b/>
      <sz val="26"/>
      <color indexed="9"/>
      <name val="Courier New"/>
      <family val="3"/>
    </font>
    <font>
      <sz val="36"/>
      <color indexed="9"/>
      <name val="Courier New"/>
      <family val="3"/>
    </font>
    <font>
      <sz val="18"/>
      <color indexed="8"/>
      <name val="Cambria Math"/>
      <family val="0"/>
    </font>
    <font>
      <b/>
      <sz val="8"/>
      <color indexed="8"/>
      <name val="Times New Roman"/>
      <family val="0"/>
    </font>
    <font>
      <b/>
      <u val="single"/>
      <sz val="1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ourier New"/>
      <family val="3"/>
    </font>
    <font>
      <sz val="10"/>
      <color theme="0"/>
      <name val="Courier New"/>
      <family val="3"/>
    </font>
    <font>
      <sz val="10"/>
      <color theme="0"/>
      <name val="Calibri"/>
      <family val="2"/>
    </font>
    <font>
      <sz val="14"/>
      <color theme="0"/>
      <name val="Courier New"/>
      <family val="3"/>
    </font>
    <font>
      <b/>
      <sz val="14"/>
      <color theme="0"/>
      <name val="Courier New"/>
      <family val="3"/>
    </font>
    <font>
      <b/>
      <sz val="12"/>
      <color theme="0"/>
      <name val="Castellar"/>
      <family val="1"/>
    </font>
    <font>
      <b/>
      <sz val="12"/>
      <color theme="1"/>
      <name val="Castellar"/>
      <family val="1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ourier New"/>
      <family val="3"/>
    </font>
    <font>
      <b/>
      <sz val="12"/>
      <color theme="0"/>
      <name val="Calibri"/>
      <family val="2"/>
    </font>
    <font>
      <b/>
      <sz val="12"/>
      <color rgb="FFFFC000"/>
      <name val="Courier New"/>
      <family val="3"/>
    </font>
    <font>
      <b/>
      <sz val="12"/>
      <color rgb="FF002060"/>
      <name val="Courier New"/>
      <family val="3"/>
    </font>
    <font>
      <sz val="10"/>
      <color rgb="FFFFC000"/>
      <name val="Courier New"/>
      <family val="3"/>
    </font>
    <font>
      <b/>
      <sz val="10"/>
      <color rgb="FFFFC000"/>
      <name val="Courier New"/>
      <family val="3"/>
    </font>
    <font>
      <b/>
      <sz val="14"/>
      <color rgb="FFFFC000"/>
      <name val="Courier New"/>
      <family val="3"/>
    </font>
    <font>
      <sz val="36"/>
      <color theme="0"/>
      <name val="Courier New"/>
      <family val="3"/>
    </font>
    <font>
      <b/>
      <sz val="26"/>
      <color theme="0"/>
      <name val="Courier New"/>
      <family val="3"/>
    </font>
    <font>
      <b/>
      <sz val="16"/>
      <color theme="0"/>
      <name val="Courier New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19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2" fontId="5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2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0" fillId="35" borderId="38" xfId="0" applyFont="1" applyFill="1" applyBorder="1" applyAlignment="1">
      <alignment horizontal="right"/>
    </xf>
    <xf numFmtId="0" fontId="90" fillId="35" borderId="38" xfId="0" applyFont="1" applyFill="1" applyBorder="1" applyAlignment="1">
      <alignment horizontal="center"/>
    </xf>
    <xf numFmtId="0" fontId="91" fillId="35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91" fillId="34" borderId="0" xfId="0" applyFont="1" applyFill="1" applyAlignment="1">
      <alignment/>
    </xf>
    <xf numFmtId="0" fontId="90" fillId="34" borderId="0" xfId="0" applyFont="1" applyFill="1" applyAlignment="1">
      <alignment/>
    </xf>
    <xf numFmtId="2" fontId="90" fillId="34" borderId="0" xfId="0" applyNumberFormat="1" applyFont="1" applyFill="1" applyAlignment="1">
      <alignment horizontal="center"/>
    </xf>
    <xf numFmtId="0" fontId="92" fillId="34" borderId="0" xfId="0" applyFont="1" applyFill="1" applyAlignment="1">
      <alignment/>
    </xf>
    <xf numFmtId="0" fontId="90" fillId="34" borderId="0" xfId="0" applyFont="1" applyFill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9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2" fontId="91" fillId="36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2" fontId="0" fillId="36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91" fillId="36" borderId="0" xfId="0" applyFont="1" applyFill="1" applyAlignment="1">
      <alignment horizontal="left"/>
    </xf>
    <xf numFmtId="0" fontId="90" fillId="36" borderId="0" xfId="0" applyFont="1" applyFill="1" applyAlignment="1">
      <alignment horizontal="center"/>
    </xf>
    <xf numFmtId="0" fontId="91" fillId="36" borderId="0" xfId="0" applyFont="1" applyFill="1" applyAlignment="1">
      <alignment/>
    </xf>
    <xf numFmtId="1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 horizontal="center"/>
    </xf>
    <xf numFmtId="0" fontId="0" fillId="0" borderId="0" xfId="0" applyFont="1" applyAlignment="1">
      <alignment/>
    </xf>
    <xf numFmtId="0" fontId="90" fillId="38" borderId="38" xfId="0" applyFont="1" applyFill="1" applyBorder="1" applyAlignment="1">
      <alignment horizontal="center" vertical="center"/>
    </xf>
    <xf numFmtId="0" fontId="0" fillId="38" borderId="38" xfId="0" applyFill="1" applyBorder="1" applyAlignment="1">
      <alignment/>
    </xf>
    <xf numFmtId="0" fontId="95" fillId="36" borderId="23" xfId="0" applyFont="1" applyFill="1" applyBorder="1" applyAlignment="1">
      <alignment horizontal="center"/>
    </xf>
    <xf numFmtId="0" fontId="95" fillId="36" borderId="38" xfId="0" applyFont="1" applyFill="1" applyBorder="1" applyAlignment="1">
      <alignment horizontal="center"/>
    </xf>
    <xf numFmtId="0" fontId="95" fillId="38" borderId="38" xfId="0" applyFont="1" applyFill="1" applyBorder="1" applyAlignment="1">
      <alignment horizontal="center" vertical="center"/>
    </xf>
    <xf numFmtId="0" fontId="96" fillId="39" borderId="23" xfId="0" applyFont="1" applyFill="1" applyBorder="1" applyAlignment="1">
      <alignment horizontal="center"/>
    </xf>
    <xf numFmtId="0" fontId="96" fillId="39" borderId="23" xfId="0" applyFont="1" applyFill="1" applyBorder="1" applyAlignment="1">
      <alignment horizontal="left"/>
    </xf>
    <xf numFmtId="0" fontId="96" fillId="39" borderId="0" xfId="0" applyFont="1" applyFill="1" applyBorder="1" applyAlignment="1">
      <alignment horizontal="left"/>
    </xf>
    <xf numFmtId="0" fontId="97" fillId="39" borderId="0" xfId="0" applyFont="1" applyFill="1" applyBorder="1" applyAlignment="1">
      <alignment horizontal="left"/>
    </xf>
    <xf numFmtId="0" fontId="96" fillId="39" borderId="38" xfId="0" applyFont="1" applyFill="1" applyBorder="1" applyAlignment="1">
      <alignment horizontal="left"/>
    </xf>
    <xf numFmtId="0" fontId="20" fillId="40" borderId="0" xfId="55" applyFont="1" applyFill="1" applyAlignment="1">
      <alignment horizontal="center" vertical="center"/>
      <protection/>
    </xf>
    <xf numFmtId="0" fontId="20" fillId="40" borderId="0" xfId="55" applyFont="1" applyFill="1" applyAlignment="1">
      <alignment vertical="center"/>
      <protection/>
    </xf>
    <xf numFmtId="0" fontId="21" fillId="40" borderId="0" xfId="55" applyFont="1" applyFill="1" applyAlignment="1">
      <alignment horizontal="centerContinuous" vertical="center"/>
      <protection/>
    </xf>
    <xf numFmtId="0" fontId="22" fillId="40" borderId="0" xfId="55" applyFont="1" applyFill="1" applyAlignment="1">
      <alignment horizontal="centerContinuous" vertical="center"/>
      <protection/>
    </xf>
    <xf numFmtId="0" fontId="20" fillId="40" borderId="38" xfId="55" applyFont="1" applyFill="1" applyBorder="1" applyAlignment="1">
      <alignment horizontal="center" vertical="center"/>
      <protection/>
    </xf>
    <xf numFmtId="0" fontId="23" fillId="40" borderId="0" xfId="55" applyFont="1" applyFill="1" applyAlignment="1" applyProtection="1">
      <alignment horizontal="center" vertical="center"/>
      <protection locked="0"/>
    </xf>
    <xf numFmtId="0" fontId="19" fillId="40" borderId="28" xfId="55" applyFont="1" applyFill="1" applyBorder="1" applyAlignment="1">
      <alignment horizontal="center" vertical="center"/>
      <protection/>
    </xf>
    <xf numFmtId="0" fontId="20" fillId="40" borderId="39" xfId="55" applyFont="1" applyFill="1" applyBorder="1" applyAlignment="1">
      <alignment horizontal="center" vertical="center"/>
      <protection/>
    </xf>
    <xf numFmtId="0" fontId="23" fillId="40" borderId="40" xfId="55" applyFont="1" applyFill="1" applyBorder="1" applyAlignment="1" applyProtection="1">
      <alignment horizontal="center" vertical="center"/>
      <protection locked="0"/>
    </xf>
    <xf numFmtId="0" fontId="19" fillId="40" borderId="29" xfId="55" applyFont="1" applyFill="1" applyBorder="1" applyAlignment="1">
      <alignment horizontal="center" vertical="center"/>
      <protection/>
    </xf>
    <xf numFmtId="0" fontId="20" fillId="40" borderId="0" xfId="55" applyFont="1" applyFill="1" applyBorder="1" applyAlignment="1">
      <alignment horizontal="center" vertical="center"/>
      <protection/>
    </xf>
    <xf numFmtId="0" fontId="23" fillId="40" borderId="26" xfId="55" applyFont="1" applyFill="1" applyBorder="1" applyAlignment="1" applyProtection="1">
      <alignment horizontal="center" vertical="center"/>
      <protection locked="0"/>
    </xf>
    <xf numFmtId="0" fontId="19" fillId="40" borderId="25" xfId="55" applyFont="1" applyFill="1" applyBorder="1" applyAlignment="1">
      <alignment horizontal="center" vertical="center"/>
      <protection/>
    </xf>
    <xf numFmtId="0" fontId="20" fillId="40" borderId="24" xfId="55" applyFont="1" applyFill="1" applyBorder="1" applyAlignment="1">
      <alignment horizontal="center" vertical="center"/>
      <protection/>
    </xf>
    <xf numFmtId="0" fontId="23" fillId="40" borderId="22" xfId="55" applyFont="1" applyFill="1" applyBorder="1" applyAlignment="1" applyProtection="1">
      <alignment horizontal="center" vertical="center"/>
      <protection locked="0"/>
    </xf>
    <xf numFmtId="0" fontId="20" fillId="40" borderId="38" xfId="55" applyFont="1" applyFill="1" applyBorder="1" applyAlignment="1">
      <alignment horizontal="center" vertical="center" wrapText="1"/>
      <protection/>
    </xf>
    <xf numFmtId="0" fontId="20" fillId="40" borderId="0" xfId="55" applyFont="1" applyFill="1" applyAlignment="1">
      <alignment horizontal="left" vertical="center"/>
      <protection/>
    </xf>
    <xf numFmtId="165" fontId="20" fillId="40" borderId="39" xfId="55" applyNumberFormat="1" applyFont="1" applyFill="1" applyBorder="1" applyAlignment="1">
      <alignment horizontal="center" vertical="center"/>
      <protection/>
    </xf>
    <xf numFmtId="165" fontId="20" fillId="40" borderId="40" xfId="55" applyNumberFormat="1" applyFont="1" applyFill="1" applyBorder="1" applyAlignment="1">
      <alignment horizontal="center" vertical="center"/>
      <protection/>
    </xf>
    <xf numFmtId="165" fontId="20" fillId="40" borderId="24" xfId="55" applyNumberFormat="1" applyFont="1" applyFill="1" applyBorder="1" applyAlignment="1">
      <alignment horizontal="center" vertical="center"/>
      <protection/>
    </xf>
    <xf numFmtId="165" fontId="20" fillId="40" borderId="22" xfId="55" applyNumberFormat="1" applyFont="1" applyFill="1" applyBorder="1" applyAlignment="1">
      <alignment horizontal="center" vertical="center"/>
      <protection/>
    </xf>
    <xf numFmtId="164" fontId="23" fillId="40" borderId="0" xfId="55" applyNumberFormat="1" applyFont="1" applyFill="1" applyAlignment="1" applyProtection="1">
      <alignment horizontal="center" vertical="center"/>
      <protection locked="0"/>
    </xf>
    <xf numFmtId="0" fontId="23" fillId="40" borderId="0" xfId="55" applyNumberFormat="1" applyFont="1" applyFill="1" applyAlignment="1" applyProtection="1">
      <alignment horizontal="center" vertical="center"/>
      <protection locked="0"/>
    </xf>
    <xf numFmtId="165" fontId="20" fillId="40" borderId="26" xfId="55" applyNumberFormat="1" applyFont="1" applyFill="1" applyBorder="1" applyAlignment="1">
      <alignment horizontal="center" vertical="center"/>
      <protection/>
    </xf>
    <xf numFmtId="0" fontId="20" fillId="40" borderId="0" xfId="55" applyFont="1" applyFill="1" applyAlignment="1">
      <alignment horizontal="center" vertical="center" wrapText="1"/>
      <protection/>
    </xf>
    <xf numFmtId="0" fontId="26" fillId="40" borderId="0" xfId="55" applyFont="1" applyFill="1" applyAlignment="1">
      <alignment vertical="center"/>
      <protection/>
    </xf>
    <xf numFmtId="0" fontId="20" fillId="40" borderId="10" xfId="55" applyFont="1" applyFill="1" applyBorder="1" applyAlignment="1">
      <alignment horizontal="center" vertical="center" wrapText="1"/>
      <protection/>
    </xf>
    <xf numFmtId="0" fontId="20" fillId="40" borderId="11" xfId="55" applyFont="1" applyFill="1" applyBorder="1" applyAlignment="1">
      <alignment horizontal="center" vertical="center" wrapText="1"/>
      <protection/>
    </xf>
    <xf numFmtId="0" fontId="20" fillId="40" borderId="41" xfId="55" applyFont="1" applyFill="1" applyBorder="1" applyAlignment="1">
      <alignment horizontal="center" vertical="center" wrapText="1"/>
      <protection/>
    </xf>
    <xf numFmtId="0" fontId="20" fillId="40" borderId="35" xfId="55" applyFont="1" applyFill="1" applyBorder="1" applyAlignment="1" applyProtection="1">
      <alignment horizontal="center" vertical="center" wrapText="1"/>
      <protection locked="0"/>
    </xf>
    <xf numFmtId="0" fontId="20" fillId="40" borderId="0" xfId="55" applyFont="1" applyFill="1" applyBorder="1" applyAlignment="1" applyProtection="1">
      <alignment horizontal="center" vertical="center" wrapText="1"/>
      <protection locked="0"/>
    </xf>
    <xf numFmtId="0" fontId="20" fillId="40" borderId="0" xfId="55" applyFont="1" applyFill="1" applyAlignment="1" applyProtection="1">
      <alignment horizontal="center" vertical="center"/>
      <protection locked="0"/>
    </xf>
    <xf numFmtId="0" fontId="20" fillId="40" borderId="13" xfId="55" applyFont="1" applyFill="1" applyBorder="1" applyAlignment="1">
      <alignment horizontal="center" vertical="center"/>
      <protection/>
    </xf>
    <xf numFmtId="0" fontId="23" fillId="40" borderId="14" xfId="55" applyFont="1" applyFill="1" applyBorder="1" applyAlignment="1" applyProtection="1">
      <alignment horizontal="center" vertical="center"/>
      <protection locked="0"/>
    </xf>
    <xf numFmtId="0" fontId="20" fillId="40" borderId="42" xfId="55" applyFont="1" applyFill="1" applyBorder="1" applyAlignment="1">
      <alignment horizontal="center" vertical="center"/>
      <protection/>
    </xf>
    <xf numFmtId="164" fontId="27" fillId="40" borderId="35" xfId="55" applyNumberFormat="1" applyFont="1" applyFill="1" applyBorder="1" applyAlignment="1" applyProtection="1">
      <alignment horizontal="center" vertical="center"/>
      <protection locked="0"/>
    </xf>
    <xf numFmtId="0" fontId="20" fillId="40" borderId="0" xfId="55" applyFont="1" applyFill="1" applyBorder="1" applyAlignment="1" applyProtection="1">
      <alignment horizontal="center" vertical="center"/>
      <protection locked="0"/>
    </xf>
    <xf numFmtId="0" fontId="20" fillId="40" borderId="43" xfId="55" applyFont="1" applyFill="1" applyBorder="1" applyAlignment="1">
      <alignment horizontal="center" vertical="center"/>
      <protection/>
    </xf>
    <xf numFmtId="0" fontId="23" fillId="40" borderId="27" xfId="55" applyFont="1" applyFill="1" applyBorder="1" applyAlignment="1" applyProtection="1">
      <alignment horizontal="center" vertical="center"/>
      <protection locked="0"/>
    </xf>
    <xf numFmtId="0" fontId="20" fillId="40" borderId="29" xfId="55" applyFont="1" applyFill="1" applyBorder="1" applyAlignment="1">
      <alignment horizontal="center" vertical="center"/>
      <protection/>
    </xf>
    <xf numFmtId="0" fontId="20" fillId="40" borderId="44" xfId="55" applyFont="1" applyFill="1" applyBorder="1" applyAlignment="1">
      <alignment horizontal="center" vertical="center"/>
      <protection/>
    </xf>
    <xf numFmtId="0" fontId="23" fillId="40" borderId="45" xfId="55" applyFont="1" applyFill="1" applyBorder="1" applyAlignment="1" applyProtection="1">
      <alignment horizontal="center" vertical="center"/>
      <protection locked="0"/>
    </xf>
    <xf numFmtId="0" fontId="20" fillId="40" borderId="46" xfId="55" applyFont="1" applyFill="1" applyBorder="1" applyAlignment="1">
      <alignment horizontal="center" vertical="center"/>
      <protection/>
    </xf>
    <xf numFmtId="0" fontId="20" fillId="40" borderId="34" xfId="55" applyFont="1" applyFill="1" applyBorder="1" applyAlignment="1">
      <alignment horizontal="center" vertical="center"/>
      <protection/>
    </xf>
    <xf numFmtId="0" fontId="19" fillId="40" borderId="38" xfId="55" applyFont="1" applyFill="1" applyBorder="1" applyAlignment="1">
      <alignment horizontal="center" vertical="center"/>
      <protection/>
    </xf>
    <xf numFmtId="2" fontId="20" fillId="40" borderId="27" xfId="55" applyNumberFormat="1" applyFont="1" applyFill="1" applyBorder="1" applyAlignment="1">
      <alignment horizontal="center" vertical="center"/>
      <protection/>
    </xf>
    <xf numFmtId="2" fontId="20" fillId="40" borderId="23" xfId="55" applyNumberFormat="1" applyFont="1" applyFill="1" applyBorder="1" applyAlignment="1">
      <alignment horizontal="center" vertical="center"/>
      <protection/>
    </xf>
    <xf numFmtId="0" fontId="17" fillId="39" borderId="0" xfId="0" applyFont="1" applyFill="1" applyAlignment="1">
      <alignment/>
    </xf>
    <xf numFmtId="2" fontId="0" fillId="0" borderId="0" xfId="0" applyNumberFormat="1" applyAlignment="1">
      <alignment vertical="center"/>
    </xf>
    <xf numFmtId="0" fontId="94" fillId="38" borderId="0" xfId="0" applyFont="1" applyFill="1" applyAlignment="1">
      <alignment horizontal="center"/>
    </xf>
    <xf numFmtId="2" fontId="94" fillId="38" borderId="0" xfId="0" applyNumberFormat="1" applyFont="1" applyFill="1" applyAlignment="1">
      <alignment horizontal="center"/>
    </xf>
    <xf numFmtId="0" fontId="91" fillId="41" borderId="0" xfId="0" applyFont="1" applyFill="1" applyAlignment="1">
      <alignment/>
    </xf>
    <xf numFmtId="0" fontId="57" fillId="41" borderId="0" xfId="55" applyFont="1" applyFill="1" applyBorder="1" applyAlignment="1">
      <alignment horizontal="center" vertical="center"/>
      <protection/>
    </xf>
    <xf numFmtId="0" fontId="98" fillId="38" borderId="0" xfId="55" applyFont="1" applyFill="1" applyBorder="1" applyAlignment="1">
      <alignment horizontal="center" vertical="center"/>
      <protection/>
    </xf>
    <xf numFmtId="0" fontId="57" fillId="0" borderId="0" xfId="55" applyFont="1" applyFill="1" applyBorder="1" applyAlignment="1">
      <alignment horizontal="center" vertical="center"/>
      <protection/>
    </xf>
    <xf numFmtId="0" fontId="57" fillId="0" borderId="0" xfId="55" applyFont="1" applyFill="1" applyBorder="1" applyAlignment="1">
      <alignment horizontal="center" vertical="center" wrapText="1"/>
      <protection/>
    </xf>
    <xf numFmtId="0" fontId="57" fillId="0" borderId="0" xfId="55" applyFont="1" applyFill="1" applyBorder="1" applyAlignment="1">
      <alignment horizontal="left" vertical="center"/>
      <protection/>
    </xf>
    <xf numFmtId="0" fontId="99" fillId="38" borderId="0" xfId="0" applyFont="1" applyFill="1" applyAlignment="1">
      <alignment/>
    </xf>
    <xf numFmtId="165" fontId="100" fillId="38" borderId="0" xfId="55" applyNumberFormat="1" applyFont="1" applyFill="1" applyBorder="1" applyAlignment="1">
      <alignment horizontal="center" vertical="center"/>
      <protection/>
    </xf>
    <xf numFmtId="165" fontId="61" fillId="0" borderId="0" xfId="55" applyNumberFormat="1" applyFont="1" applyFill="1" applyBorder="1" applyAlignment="1">
      <alignment horizontal="center" vertical="center"/>
      <protection/>
    </xf>
    <xf numFmtId="0" fontId="57" fillId="41" borderId="0" xfId="0" applyFont="1" applyFill="1" applyAlignment="1">
      <alignment horizontal="center"/>
    </xf>
    <xf numFmtId="0" fontId="100" fillId="38" borderId="0" xfId="55" applyFont="1" applyFill="1" applyBorder="1" applyAlignment="1">
      <alignment horizontal="left" vertical="center"/>
      <protection/>
    </xf>
    <xf numFmtId="0" fontId="100" fillId="38" borderId="0" xfId="55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98" fillId="0" borderId="0" xfId="55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/>
    </xf>
    <xf numFmtId="0" fontId="100" fillId="38" borderId="0" xfId="55" applyFont="1" applyFill="1" applyBorder="1" applyAlignment="1">
      <alignment vertical="center"/>
      <protection/>
    </xf>
    <xf numFmtId="165" fontId="18" fillId="0" borderId="0" xfId="0" applyNumberFormat="1" applyFont="1" applyAlignment="1">
      <alignment/>
    </xf>
    <xf numFmtId="165" fontId="100" fillId="38" borderId="0" xfId="0" applyNumberFormat="1" applyFont="1" applyFill="1" applyAlignment="1">
      <alignment horizontal="center"/>
    </xf>
    <xf numFmtId="0" fontId="98" fillId="38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98" fillId="38" borderId="0" xfId="0" applyFont="1" applyFill="1" applyAlignment="1">
      <alignment/>
    </xf>
    <xf numFmtId="0" fontId="18" fillId="39" borderId="0" xfId="0" applyFont="1" applyFill="1" applyAlignment="1">
      <alignment/>
    </xf>
    <xf numFmtId="0" fontId="18" fillId="0" borderId="0" xfId="0" applyFont="1" applyAlignment="1">
      <alignment/>
    </xf>
    <xf numFmtId="0" fontId="101" fillId="42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03" fillId="42" borderId="0" xfId="0" applyFont="1" applyFill="1" applyAlignment="1">
      <alignment/>
    </xf>
    <xf numFmtId="0" fontId="104" fillId="42" borderId="0" xfId="0" applyFont="1" applyFill="1" applyAlignment="1">
      <alignment/>
    </xf>
    <xf numFmtId="0" fontId="0" fillId="0" borderId="0" xfId="0" applyFont="1" applyAlignment="1">
      <alignment horizontal="left"/>
    </xf>
    <xf numFmtId="0" fontId="105" fillId="0" borderId="0" xfId="0" applyFont="1" applyFill="1" applyAlignment="1">
      <alignment horizontal="left"/>
    </xf>
    <xf numFmtId="0" fontId="101" fillId="42" borderId="0" xfId="0" applyFont="1" applyFill="1" applyAlignment="1">
      <alignment/>
    </xf>
    <xf numFmtId="0" fontId="90" fillId="41" borderId="0" xfId="0" applyFont="1" applyFill="1" applyAlignment="1">
      <alignment/>
    </xf>
    <xf numFmtId="0" fontId="17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0" fontId="94" fillId="36" borderId="0" xfId="0" applyFont="1" applyFill="1" applyAlignment="1">
      <alignment/>
    </xf>
    <xf numFmtId="0" fontId="0" fillId="43" borderId="0" xfId="0" applyFont="1" applyFill="1" applyAlignment="1">
      <alignment/>
    </xf>
    <xf numFmtId="0" fontId="99" fillId="41" borderId="0" xfId="0" applyFont="1" applyFill="1" applyAlignment="1">
      <alignment/>
    </xf>
    <xf numFmtId="0" fontId="10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43" borderId="0" xfId="0" applyFont="1" applyFill="1" applyBorder="1" applyAlignment="1">
      <alignment vertical="center"/>
    </xf>
    <xf numFmtId="0" fontId="101" fillId="43" borderId="0" xfId="0" applyFont="1" applyFill="1" applyBorder="1" applyAlignment="1">
      <alignment vertical="center"/>
    </xf>
    <xf numFmtId="0" fontId="30" fillId="43" borderId="0" xfId="0" applyFont="1" applyFill="1" applyBorder="1" applyAlignment="1">
      <alignment horizontal="right" vertical="center"/>
    </xf>
    <xf numFmtId="0" fontId="0" fillId="43" borderId="0" xfId="0" applyFill="1" applyBorder="1" applyAlignment="1">
      <alignment/>
    </xf>
    <xf numFmtId="0" fontId="30" fillId="43" borderId="0" xfId="0" applyFont="1" applyFill="1" applyBorder="1" applyAlignment="1">
      <alignment/>
    </xf>
    <xf numFmtId="167" fontId="30" fillId="43" borderId="0" xfId="0" applyNumberFormat="1" applyFont="1" applyFill="1" applyBorder="1" applyAlignment="1">
      <alignment horizontal="right"/>
    </xf>
    <xf numFmtId="165" fontId="30" fillId="43" borderId="0" xfId="0" applyNumberFormat="1" applyFont="1" applyFill="1" applyBorder="1" applyAlignment="1">
      <alignment horizontal="right"/>
    </xf>
    <xf numFmtId="165" fontId="30" fillId="43" borderId="0" xfId="0" applyNumberFormat="1" applyFont="1" applyFill="1" applyBorder="1" applyAlignment="1">
      <alignment horizontal="left"/>
    </xf>
    <xf numFmtId="165" fontId="30" fillId="43" borderId="0" xfId="0" applyNumberFormat="1" applyFont="1" applyFill="1" applyBorder="1" applyAlignment="1">
      <alignment horizontal="center"/>
    </xf>
    <xf numFmtId="0" fontId="0" fillId="43" borderId="34" xfId="0" applyFill="1" applyBorder="1" applyAlignment="1">
      <alignment/>
    </xf>
    <xf numFmtId="0" fontId="0" fillId="43" borderId="31" xfId="0" applyFill="1" applyBorder="1" applyAlignment="1">
      <alignment/>
    </xf>
    <xf numFmtId="0" fontId="101" fillId="43" borderId="36" xfId="0" applyFont="1" applyFill="1" applyBorder="1" applyAlignment="1">
      <alignment vertical="center"/>
    </xf>
    <xf numFmtId="0" fontId="30" fillId="43" borderId="36" xfId="0" applyFont="1" applyFill="1" applyBorder="1" applyAlignment="1">
      <alignment/>
    </xf>
    <xf numFmtId="0" fontId="0" fillId="43" borderId="36" xfId="0" applyFill="1" applyBorder="1" applyAlignment="1">
      <alignment/>
    </xf>
    <xf numFmtId="0" fontId="0" fillId="43" borderId="37" xfId="0" applyFill="1" applyBorder="1" applyAlignment="1">
      <alignment/>
    </xf>
    <xf numFmtId="0" fontId="0" fillId="43" borderId="33" xfId="0" applyFill="1" applyBorder="1" applyAlignment="1">
      <alignment/>
    </xf>
    <xf numFmtId="0" fontId="104" fillId="42" borderId="30" xfId="0" applyFont="1" applyFill="1" applyBorder="1" applyAlignment="1">
      <alignment/>
    </xf>
    <xf numFmtId="0" fontId="104" fillId="42" borderId="34" xfId="0" applyFont="1" applyFill="1" applyBorder="1" applyAlignment="1">
      <alignment/>
    </xf>
    <xf numFmtId="0" fontId="104" fillId="42" borderId="35" xfId="0" applyFont="1" applyFill="1" applyBorder="1" applyAlignment="1">
      <alignment/>
    </xf>
    <xf numFmtId="0" fontId="104" fillId="42" borderId="0" xfId="0" applyFont="1" applyFill="1" applyBorder="1" applyAlignment="1">
      <alignment/>
    </xf>
    <xf numFmtId="0" fontId="104" fillId="42" borderId="32" xfId="0" applyFont="1" applyFill="1" applyBorder="1" applyAlignment="1">
      <alignment/>
    </xf>
    <xf numFmtId="0" fontId="104" fillId="42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01" fillId="42" borderId="35" xfId="0" applyFont="1" applyFill="1" applyBorder="1" applyAlignment="1">
      <alignment horizontal="center" vertical="center"/>
    </xf>
    <xf numFmtId="0" fontId="101" fillId="42" borderId="0" xfId="0" applyFont="1" applyFill="1" applyBorder="1" applyAlignment="1">
      <alignment horizontal="center" vertical="center"/>
    </xf>
    <xf numFmtId="0" fontId="104" fillId="42" borderId="35" xfId="0" applyFont="1" applyFill="1" applyBorder="1" applyAlignment="1">
      <alignment horizontal="left"/>
    </xf>
    <xf numFmtId="0" fontId="104" fillId="42" borderId="0" xfId="0" applyFont="1" applyFill="1" applyBorder="1" applyAlignment="1">
      <alignment horizontal="left"/>
    </xf>
    <xf numFmtId="165" fontId="30" fillId="43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1" fillId="4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4" fillId="38" borderId="0" xfId="0" applyFont="1" applyFill="1" applyAlignment="1">
      <alignment horizontal="right"/>
    </xf>
    <xf numFmtId="0" fontId="99" fillId="38" borderId="0" xfId="0" applyFont="1" applyFill="1" applyAlignment="1">
      <alignment horizontal="left"/>
    </xf>
    <xf numFmtId="0" fontId="102" fillId="39" borderId="0" xfId="0" applyFont="1" applyFill="1" applyAlignment="1">
      <alignment horizontal="center"/>
    </xf>
    <xf numFmtId="0" fontId="105" fillId="42" borderId="0" xfId="0" applyFont="1" applyFill="1" applyAlignment="1">
      <alignment horizontal="left"/>
    </xf>
    <xf numFmtId="0" fontId="91" fillId="41" borderId="0" xfId="0" applyFont="1" applyFill="1" applyAlignment="1">
      <alignment horizontal="left"/>
    </xf>
    <xf numFmtId="0" fontId="91" fillId="34" borderId="0" xfId="0" applyFont="1" applyFill="1" applyAlignment="1">
      <alignment horizontal="left"/>
    </xf>
    <xf numFmtId="0" fontId="90" fillId="41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0" fillId="34" borderId="0" xfId="0" applyFont="1" applyFill="1" applyAlignment="1">
      <alignment horizontal="left"/>
    </xf>
    <xf numFmtId="0" fontId="94" fillId="44" borderId="0" xfId="0" applyFont="1" applyFill="1" applyAlignment="1">
      <alignment horizontal="center"/>
    </xf>
    <xf numFmtId="0" fontId="90" fillId="35" borderId="38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91" fillId="34" borderId="0" xfId="0" applyFont="1" applyFill="1" applyAlignment="1">
      <alignment horizontal="center"/>
    </xf>
    <xf numFmtId="0" fontId="98" fillId="38" borderId="0" xfId="0" applyFont="1" applyFill="1" applyAlignment="1">
      <alignment horizontal="left"/>
    </xf>
    <xf numFmtId="0" fontId="28" fillId="0" borderId="0" xfId="0" applyFont="1" applyAlignment="1">
      <alignment horizontal="center"/>
    </xf>
    <xf numFmtId="0" fontId="100" fillId="38" borderId="0" xfId="55" applyFont="1" applyFill="1" applyBorder="1" applyAlignment="1">
      <alignment horizontal="left" vertical="center"/>
      <protection/>
    </xf>
    <xf numFmtId="0" fontId="57" fillId="41" borderId="0" xfId="55" applyFont="1" applyFill="1" applyBorder="1" applyAlignment="1">
      <alignment horizontal="center" vertical="center"/>
      <protection/>
    </xf>
    <xf numFmtId="0" fontId="98" fillId="38" borderId="0" xfId="55" applyFont="1" applyFill="1" applyBorder="1" applyAlignment="1">
      <alignment horizontal="left" vertical="center"/>
      <protection/>
    </xf>
    <xf numFmtId="1" fontId="94" fillId="38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90" fillId="38" borderId="38" xfId="0" applyFont="1" applyFill="1" applyBorder="1" applyAlignment="1">
      <alignment horizontal="center" vertical="center"/>
    </xf>
    <xf numFmtId="0" fontId="106" fillId="38" borderId="0" xfId="0" applyFont="1" applyFill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99" fillId="38" borderId="0" xfId="0" applyFont="1" applyFill="1" applyAlignment="1">
      <alignment horizontal="center"/>
    </xf>
    <xf numFmtId="0" fontId="107" fillId="36" borderId="0" xfId="0" applyFont="1" applyFill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95" fillId="38" borderId="38" xfId="0" applyFont="1" applyFill="1" applyBorder="1" applyAlignment="1">
      <alignment horizontal="center" vertical="center"/>
    </xf>
    <xf numFmtId="0" fontId="90" fillId="38" borderId="0" xfId="0" applyFont="1" applyFill="1" applyAlignment="1">
      <alignment horizontal="left"/>
    </xf>
    <xf numFmtId="1" fontId="108" fillId="3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04" fillId="42" borderId="0" xfId="0" applyFont="1" applyFill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top style="dashed">
          <color indexed="39"/>
        </top>
      </border>
    </dxf>
    <dxf>
      <border>
        <top style="dashed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</a:rPr>
              <a:t>Interaction Diagram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2025"/>
          <c:w val="0.7947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'Uniaxial column'!$G$29</c:f>
              <c:strCache>
                <c:ptCount val="1"/>
                <c:pt idx="0">
                  <c:v>ΦMn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'Uniaxial column'!$G$30:$G$300</c:f>
              <c:numCache>
                <c:ptCount val="271"/>
                <c:pt idx="0">
                  <c:v>1746.757568359375</c:v>
                </c:pt>
                <c:pt idx="1">
                  <c:v>1714.6024169921875</c:v>
                </c:pt>
                <c:pt idx="2">
                  <c:v>1681.716552734375</c:v>
                </c:pt>
                <c:pt idx="3">
                  <c:v>1648.544677734375</c:v>
                </c:pt>
                <c:pt idx="4">
                  <c:v>1615.1331787109375</c:v>
                </c:pt>
                <c:pt idx="5">
                  <c:v>1581.5220947265625</c:v>
                </c:pt>
                <c:pt idx="6">
                  <c:v>1547.747314453125</c:v>
                </c:pt>
                <c:pt idx="7">
                  <c:v>1513.8392333984375</c:v>
                </c:pt>
                <c:pt idx="8">
                  <c:v>1479.825927734375</c:v>
                </c:pt>
                <c:pt idx="9">
                  <c:v>1487.4410400390625</c:v>
                </c:pt>
                <c:pt idx="10">
                  <c:v>1499.150146484375</c:v>
                </c:pt>
                <c:pt idx="11">
                  <c:v>1510.4046630859375</c:v>
                </c:pt>
                <c:pt idx="12">
                  <c:v>1521.21875</c:v>
                </c:pt>
                <c:pt idx="13">
                  <c:v>1531.6055908203125</c:v>
                </c:pt>
                <c:pt idx="14">
                  <c:v>1541.5775146484375</c:v>
                </c:pt>
                <c:pt idx="15">
                  <c:v>1551.145751953125</c:v>
                </c:pt>
                <c:pt idx="16">
                  <c:v>1560.3212890625</c:v>
                </c:pt>
                <c:pt idx="17">
                  <c:v>1569.1138916015625</c:v>
                </c:pt>
                <c:pt idx="18">
                  <c:v>1577.5328369140625</c:v>
                </c:pt>
                <c:pt idx="19">
                  <c:v>1585.586669921875</c:v>
                </c:pt>
                <c:pt idx="20">
                  <c:v>1593.28369140625</c:v>
                </c:pt>
                <c:pt idx="21">
                  <c:v>1585.321044921875</c:v>
                </c:pt>
                <c:pt idx="22">
                  <c:v>1571.8031005859375</c:v>
                </c:pt>
                <c:pt idx="23">
                  <c:v>1558.575439453125</c:v>
                </c:pt>
                <c:pt idx="24">
                  <c:v>1545.6162109375</c:v>
                </c:pt>
                <c:pt idx="25">
                  <c:v>1532.9044189453125</c:v>
                </c:pt>
                <c:pt idx="26">
                  <c:v>1520.421142578125</c:v>
                </c:pt>
                <c:pt idx="27">
                  <c:v>1508.14794921875</c:v>
                </c:pt>
                <c:pt idx="28">
                  <c:v>1496.067626953125</c:v>
                </c:pt>
                <c:pt idx="29">
                  <c:v>1484.1636962890625</c:v>
                </c:pt>
                <c:pt idx="30">
                  <c:v>1472.421142578125</c:v>
                </c:pt>
                <c:pt idx="31">
                  <c:v>1460.824951171875</c:v>
                </c:pt>
                <c:pt idx="32">
                  <c:v>1449.36181640625</c:v>
                </c:pt>
                <c:pt idx="33">
                  <c:v>1438.0185546875</c:v>
                </c:pt>
                <c:pt idx="34">
                  <c:v>1426.5224609375</c:v>
                </c:pt>
                <c:pt idx="35">
                  <c:v>1412.2113037109375</c:v>
                </c:pt>
                <c:pt idx="36">
                  <c:v>1398.0655517578125</c:v>
                </c:pt>
                <c:pt idx="37">
                  <c:v>1384.0716552734375</c:v>
                </c:pt>
                <c:pt idx="38">
                  <c:v>1370.2164306640625</c:v>
                </c:pt>
                <c:pt idx="39">
                  <c:v>1356.4876708984375</c:v>
                </c:pt>
                <c:pt idx="40">
                  <c:v>1342.873779296875</c:v>
                </c:pt>
                <c:pt idx="41">
                  <c:v>1329.363525390625</c:v>
                </c:pt>
                <c:pt idx="42">
                  <c:v>1315.9462890625</c:v>
                </c:pt>
                <c:pt idx="43">
                  <c:v>1302.6119384765625</c:v>
                </c:pt>
                <c:pt idx="44">
                  <c:v>1289.35107421875</c:v>
                </c:pt>
                <c:pt idx="45">
                  <c:v>1276.1541748046875</c:v>
                </c:pt>
                <c:pt idx="46">
                  <c:v>1263.0125732421875</c:v>
                </c:pt>
                <c:pt idx="47">
                  <c:v>1249.91796875</c:v>
                </c:pt>
                <c:pt idx="48">
                  <c:v>1236.8621826171875</c:v>
                </c:pt>
                <c:pt idx="49">
                  <c:v>1223.837646484375</c:v>
                </c:pt>
                <c:pt idx="50">
                  <c:v>1210.8369140625</c:v>
                </c:pt>
                <c:pt idx="51">
                  <c:v>1197.85302734375</c:v>
                </c:pt>
                <c:pt idx="52">
                  <c:v>1184.879150390625</c:v>
                </c:pt>
                <c:pt idx="53">
                  <c:v>1171.908935546875</c:v>
                </c:pt>
                <c:pt idx="54">
                  <c:v>1158.9361572265625</c:v>
                </c:pt>
                <c:pt idx="55">
                  <c:v>1145.9549560546875</c:v>
                </c:pt>
                <c:pt idx="56">
                  <c:v>1132.95947265625</c:v>
                </c:pt>
                <c:pt idx="57">
                  <c:v>1119.9443359375</c:v>
                </c:pt>
                <c:pt idx="58">
                  <c:v>1106.9044189453125</c:v>
                </c:pt>
                <c:pt idx="59">
                  <c:v>1093.8343505859375</c:v>
                </c:pt>
                <c:pt idx="60">
                  <c:v>1080.7296142578125</c:v>
                </c:pt>
                <c:pt idx="61">
                  <c:v>1067.5855712890625</c:v>
                </c:pt>
                <c:pt idx="62">
                  <c:v>1054.3974609375</c:v>
                </c:pt>
                <c:pt idx="63">
                  <c:v>1041.1611328125</c:v>
                </c:pt>
                <c:pt idx="64">
                  <c:v>1027.8724365234375</c:v>
                </c:pt>
                <c:pt idx="65">
                  <c:v>1014.5274658203125</c:v>
                </c:pt>
                <c:pt idx="66">
                  <c:v>1001.1221923828125</c:v>
                </c:pt>
                <c:pt idx="67">
                  <c:v>987.653076171875</c:v>
                </c:pt>
                <c:pt idx="68">
                  <c:v>974.1163940429688</c:v>
                </c:pt>
                <c:pt idx="69">
                  <c:v>960.5088500976562</c:v>
                </c:pt>
                <c:pt idx="70">
                  <c:v>946.8269653320312</c:v>
                </c:pt>
                <c:pt idx="71">
                  <c:v>933.0676879882812</c:v>
                </c:pt>
                <c:pt idx="72">
                  <c:v>919.2278442382812</c:v>
                </c:pt>
                <c:pt idx="73">
                  <c:v>905.304443359375</c:v>
                </c:pt>
                <c:pt idx="74">
                  <c:v>891.2947387695312</c:v>
                </c:pt>
                <c:pt idx="75">
                  <c:v>877.1956787109375</c:v>
                </c:pt>
                <c:pt idx="76">
                  <c:v>863.0048217773438</c:v>
                </c:pt>
                <c:pt idx="77">
                  <c:v>848.7194213867188</c:v>
                </c:pt>
                <c:pt idx="78">
                  <c:v>834.3370361328125</c:v>
                </c:pt>
                <c:pt idx="79">
                  <c:v>819.8551635742188</c:v>
                </c:pt>
                <c:pt idx="80">
                  <c:v>805.271484375</c:v>
                </c:pt>
                <c:pt idx="81">
                  <c:v>790.583740234375</c:v>
                </c:pt>
                <c:pt idx="82">
                  <c:v>775.789794921875</c:v>
                </c:pt>
                <c:pt idx="83">
                  <c:v>760.8873291015625</c:v>
                </c:pt>
                <c:pt idx="84">
                  <c:v>745.87451171875</c:v>
                </c:pt>
                <c:pt idx="85">
                  <c:v>730.7491455078125</c:v>
                </c:pt>
                <c:pt idx="86">
                  <c:v>715.5093994140625</c:v>
                </c:pt>
                <c:pt idx="87">
                  <c:v>700.1533813476562</c:v>
                </c:pt>
                <c:pt idx="88">
                  <c:v>684.6791381835938</c:v>
                </c:pt>
                <c:pt idx="89">
                  <c:v>669.0851440429688</c:v>
                </c:pt>
                <c:pt idx="90">
                  <c:v>653.3694458007812</c:v>
                </c:pt>
                <c:pt idx="91">
                  <c:v>637.5305786132812</c:v>
                </c:pt>
                <c:pt idx="92">
                  <c:v>621.5667724609375</c:v>
                </c:pt>
                <c:pt idx="93">
                  <c:v>605.4765625</c:v>
                </c:pt>
                <c:pt idx="94">
                  <c:v>589.2584228515625</c:v>
                </c:pt>
                <c:pt idx="95">
                  <c:v>601.0466918945312</c:v>
                </c:pt>
              </c:numCache>
            </c:numRef>
          </c:xVal>
          <c:yVal>
            <c:numRef>
              <c:f>'Uniaxial column'!$F$30:$F$300</c:f>
              <c:numCache>
                <c:ptCount val="271"/>
                <c:pt idx="0">
                  <c:v>0</c:v>
                </c:pt>
                <c:pt idx="1">
                  <c:v>10.057856559753418</c:v>
                </c:pt>
                <c:pt idx="2">
                  <c:v>19.259098052978516</c:v>
                </c:pt>
                <c:pt idx="3">
                  <c:v>27.604698181152344</c:v>
                </c:pt>
                <c:pt idx="4">
                  <c:v>35.164093017578125</c:v>
                </c:pt>
                <c:pt idx="5">
                  <c:v>41.9993782043457</c:v>
                </c:pt>
                <c:pt idx="6">
                  <c:v>48.166282653808594</c:v>
                </c:pt>
                <c:pt idx="7">
                  <c:v>53.71495056152344</c:v>
                </c:pt>
                <c:pt idx="8">
                  <c:v>58.690521240234375</c:v>
                </c:pt>
                <c:pt idx="9">
                  <c:v>64.95520782470703</c:v>
                </c:pt>
                <c:pt idx="10">
                  <c:v>71.24337768554688</c:v>
                </c:pt>
                <c:pt idx="11">
                  <c:v>77.3827896118164</c:v>
                </c:pt>
                <c:pt idx="12">
                  <c:v>83.3816146850586</c:v>
                </c:pt>
                <c:pt idx="13">
                  <c:v>89.2474594116211</c:v>
                </c:pt>
                <c:pt idx="14">
                  <c:v>94.98738098144531</c:v>
                </c:pt>
                <c:pt idx="15">
                  <c:v>100.60789489746094</c:v>
                </c:pt>
                <c:pt idx="16">
                  <c:v>106.11515045166016</c:v>
                </c:pt>
                <c:pt idx="17">
                  <c:v>111.51483154296875</c:v>
                </c:pt>
                <c:pt idx="18">
                  <c:v>116.81227111816406</c:v>
                </c:pt>
                <c:pt idx="19">
                  <c:v>122.01243591308594</c:v>
                </c:pt>
                <c:pt idx="20">
                  <c:v>127.12000274658203</c:v>
                </c:pt>
                <c:pt idx="21">
                  <c:v>135.85092163085938</c:v>
                </c:pt>
                <c:pt idx="22">
                  <c:v>145.76145935058594</c:v>
                </c:pt>
                <c:pt idx="23">
                  <c:v>155.44004821777344</c:v>
                </c:pt>
                <c:pt idx="24">
                  <c:v>164.89712524414062</c:v>
                </c:pt>
                <c:pt idx="25">
                  <c:v>174.14248657226562</c:v>
                </c:pt>
                <c:pt idx="26">
                  <c:v>183.18544006347656</c:v>
                </c:pt>
                <c:pt idx="27">
                  <c:v>192.03469848632812</c:v>
                </c:pt>
                <c:pt idx="28">
                  <c:v>200.69847106933594</c:v>
                </c:pt>
                <c:pt idx="29">
                  <c:v>209.18453979492188</c:v>
                </c:pt>
                <c:pt idx="30">
                  <c:v>217.500244140625</c:v>
                </c:pt>
                <c:pt idx="31">
                  <c:v>225.65252685546875</c:v>
                </c:pt>
                <c:pt idx="32">
                  <c:v>233.64796447753906</c:v>
                </c:pt>
                <c:pt idx="33">
                  <c:v>241.49278259277344</c:v>
                </c:pt>
                <c:pt idx="34">
                  <c:v>249.12977600097656</c:v>
                </c:pt>
                <c:pt idx="35">
                  <c:v>255.92198181152344</c:v>
                </c:pt>
                <c:pt idx="36">
                  <c:v>262.59991455078125</c:v>
                </c:pt>
                <c:pt idx="37">
                  <c:v>269.1679382324219</c:v>
                </c:pt>
                <c:pt idx="38">
                  <c:v>275.63006591796875</c:v>
                </c:pt>
                <c:pt idx="39">
                  <c:v>281.990234375</c:v>
                </c:pt>
                <c:pt idx="40">
                  <c:v>288.2521667480469</c:v>
                </c:pt>
                <c:pt idx="41">
                  <c:v>294.4193420410156</c:v>
                </c:pt>
                <c:pt idx="42">
                  <c:v>300.4951171875</c:v>
                </c:pt>
                <c:pt idx="43">
                  <c:v>306.48272705078125</c:v>
                </c:pt>
                <c:pt idx="44">
                  <c:v>312.38519287109375</c:v>
                </c:pt>
                <c:pt idx="45">
                  <c:v>318.2054443359375</c:v>
                </c:pt>
                <c:pt idx="46">
                  <c:v>323.9462585449219</c:v>
                </c:pt>
                <c:pt idx="47">
                  <c:v>329.6103210449219</c:v>
                </c:pt>
                <c:pt idx="48">
                  <c:v>335.2001647949219</c:v>
                </c:pt>
                <c:pt idx="49">
                  <c:v>340.71820068359375</c:v>
                </c:pt>
                <c:pt idx="50">
                  <c:v>346.166748046875</c:v>
                </c:pt>
                <c:pt idx="51">
                  <c:v>351.5480651855469</c:v>
                </c:pt>
                <c:pt idx="52">
                  <c:v>356.8642578125</c:v>
                </c:pt>
                <c:pt idx="53">
                  <c:v>362.11737060546875</c:v>
                </c:pt>
                <c:pt idx="54">
                  <c:v>367.30938720703125</c:v>
                </c:pt>
                <c:pt idx="55">
                  <c:v>372.44219970703125</c:v>
                </c:pt>
                <c:pt idx="56">
                  <c:v>377.5175476074219</c:v>
                </c:pt>
                <c:pt idx="57">
                  <c:v>382.53717041015625</c:v>
                </c:pt>
                <c:pt idx="58">
                  <c:v>387.5028076171875</c:v>
                </c:pt>
                <c:pt idx="59">
                  <c:v>392.41595458984375</c:v>
                </c:pt>
                <c:pt idx="60">
                  <c:v>397.2782287597656</c:v>
                </c:pt>
                <c:pt idx="61">
                  <c:v>402.0910339355469</c:v>
                </c:pt>
                <c:pt idx="62">
                  <c:v>406.8558044433594</c:v>
                </c:pt>
                <c:pt idx="63">
                  <c:v>411.5739440917969</c:v>
                </c:pt>
                <c:pt idx="64">
                  <c:v>416.24676513671875</c:v>
                </c:pt>
                <c:pt idx="65">
                  <c:v>420.8755187988281</c:v>
                </c:pt>
                <c:pt idx="66">
                  <c:v>425.46136474609375</c:v>
                </c:pt>
                <c:pt idx="67">
                  <c:v>430.0054931640625</c:v>
                </c:pt>
                <c:pt idx="68">
                  <c:v>434.50909423828125</c:v>
                </c:pt>
                <c:pt idx="69">
                  <c:v>438.9732360839844</c:v>
                </c:pt>
                <c:pt idx="70">
                  <c:v>443.39898681640625</c:v>
                </c:pt>
                <c:pt idx="71">
                  <c:v>447.7873229980469</c:v>
                </c:pt>
                <c:pt idx="72">
                  <c:v>452.1391906738281</c:v>
                </c:pt>
                <c:pt idx="73">
                  <c:v>456.45562744140625</c:v>
                </c:pt>
                <c:pt idx="74">
                  <c:v>460.73748779296875</c:v>
                </c:pt>
                <c:pt idx="75">
                  <c:v>464.9856872558594</c:v>
                </c:pt>
                <c:pt idx="76">
                  <c:v>469.2010192871094</c:v>
                </c:pt>
                <c:pt idx="77">
                  <c:v>473.3843994140625</c:v>
                </c:pt>
                <c:pt idx="78">
                  <c:v>477.5364990234375</c:v>
                </c:pt>
                <c:pt idx="79">
                  <c:v>481.6581726074219</c:v>
                </c:pt>
                <c:pt idx="80">
                  <c:v>485.75018310546875</c:v>
                </c:pt>
                <c:pt idx="81">
                  <c:v>489.8132019042969</c:v>
                </c:pt>
                <c:pt idx="82">
                  <c:v>493.8479309082031</c:v>
                </c:pt>
                <c:pt idx="83">
                  <c:v>497.8550720214844</c:v>
                </c:pt>
                <c:pt idx="84">
                  <c:v>501.8352355957031</c:v>
                </c:pt>
                <c:pt idx="85">
                  <c:v>505.78912353515625</c:v>
                </c:pt>
                <c:pt idx="86">
                  <c:v>509.7173156738281</c:v>
                </c:pt>
                <c:pt idx="87">
                  <c:v>513.620361328125</c:v>
                </c:pt>
                <c:pt idx="88">
                  <c:v>517.4989013671875</c:v>
                </c:pt>
                <c:pt idx="89">
                  <c:v>521.3534545898438</c:v>
                </c:pt>
                <c:pt idx="90">
                  <c:v>525.1845703125</c:v>
                </c:pt>
                <c:pt idx="91">
                  <c:v>528.9927978515625</c:v>
                </c:pt>
                <c:pt idx="92">
                  <c:v>532.7786254882812</c:v>
                </c:pt>
                <c:pt idx="93">
                  <c:v>533.8326416015625</c:v>
                </c:pt>
                <c:pt idx="94">
                  <c:v>533.8326416015625</c:v>
                </c:pt>
                <c:pt idx="95">
                  <c:v>533.8326416015625</c:v>
                </c:pt>
              </c:numCache>
            </c:numRef>
          </c:yVal>
          <c:smooth val="1"/>
        </c:ser>
        <c:ser>
          <c:idx val="1"/>
          <c:order val="1"/>
          <c:tx>
            <c:v>Straight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'Uniaxial column'!$I$9:$J$9</c:f>
              <c:numCache>
                <c:ptCount val="2"/>
                <c:pt idx="0">
                  <c:v>601.0466918945312</c:v>
                </c:pt>
                <c:pt idx="1">
                  <c:v>0</c:v>
                </c:pt>
              </c:numCache>
            </c:numRef>
          </c:xVal>
          <c:yVal>
            <c:numRef>
              <c:f>'Uniaxial column'!$I$8:$J$8</c:f>
              <c:numCache>
                <c:ptCount val="2"/>
                <c:pt idx="0">
                  <c:v>533.8326416015625</c:v>
                </c:pt>
                <c:pt idx="1">
                  <c:v>533.8326416015625</c:v>
                </c:pt>
              </c:numCache>
            </c:numRef>
          </c:yVal>
          <c:smooth val="1"/>
        </c:ser>
        <c:ser>
          <c:idx val="2"/>
          <c:order val="2"/>
          <c:tx>
            <c:v>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'Uniaxial column'!$E$5</c:f>
              <c:numCache>
                <c:ptCount val="1"/>
                <c:pt idx="0">
                  <c:v>548</c:v>
                </c:pt>
              </c:numCache>
            </c:numRef>
          </c:xVal>
          <c:yVal>
            <c:numRef>
              <c:f>'Uniaxial column'!$E$4</c:f>
              <c:numCache>
                <c:ptCount val="1"/>
                <c:pt idx="0">
                  <c:v>220</c:v>
                </c:pt>
              </c:numCache>
            </c:numRef>
          </c:yVal>
          <c:smooth val="1"/>
        </c:ser>
        <c:axId val="38882035"/>
        <c:axId val="14393996"/>
      </c:scatterChart>
      <c:val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Φ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Mn (kips-inch)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crossBetween val="midCat"/>
        <c:dispUnits/>
      </c:valAx>
      <c:valAx>
        <c:axId val="1439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Φ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Pn (kips)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333375</xdr:rowOff>
    </xdr:from>
    <xdr:to>
      <xdr:col>12</xdr:col>
      <xdr:colOff>581025</xdr:colOff>
      <xdr:row>1</xdr:row>
      <xdr:rowOff>657225</xdr:rowOff>
    </xdr:to>
    <xdr:grpSp>
      <xdr:nvGrpSpPr>
        <xdr:cNvPr id="1" name="Group 5"/>
        <xdr:cNvGrpSpPr>
          <a:grpSpLocks/>
        </xdr:cNvGrpSpPr>
      </xdr:nvGrpSpPr>
      <xdr:grpSpPr>
        <a:xfrm>
          <a:off x="7543800" y="504825"/>
          <a:ext cx="504825" cy="323850"/>
          <a:chOff x="839" y="53"/>
          <a:chExt cx="53" cy="3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839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892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839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839" y="8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1</xdr:row>
      <xdr:rowOff>333375</xdr:rowOff>
    </xdr:from>
    <xdr:to>
      <xdr:col>11</xdr:col>
      <xdr:colOff>590550</xdr:colOff>
      <xdr:row>1</xdr:row>
      <xdr:rowOff>657225</xdr:rowOff>
    </xdr:to>
    <xdr:grpSp>
      <xdr:nvGrpSpPr>
        <xdr:cNvPr id="6" name="Group 6"/>
        <xdr:cNvGrpSpPr>
          <a:grpSpLocks/>
        </xdr:cNvGrpSpPr>
      </xdr:nvGrpSpPr>
      <xdr:grpSpPr>
        <a:xfrm>
          <a:off x="6867525" y="504825"/>
          <a:ext cx="504825" cy="323850"/>
          <a:chOff x="839" y="53"/>
          <a:chExt cx="53" cy="34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839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892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39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839" y="8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</xdr:row>
      <xdr:rowOff>333375</xdr:rowOff>
    </xdr:from>
    <xdr:to>
      <xdr:col>13</xdr:col>
      <xdr:colOff>609600</xdr:colOff>
      <xdr:row>1</xdr:row>
      <xdr:rowOff>657225</xdr:rowOff>
    </xdr:to>
    <xdr:grpSp>
      <xdr:nvGrpSpPr>
        <xdr:cNvPr id="11" name="Group 40"/>
        <xdr:cNvGrpSpPr>
          <a:grpSpLocks/>
        </xdr:cNvGrpSpPr>
      </xdr:nvGrpSpPr>
      <xdr:grpSpPr>
        <a:xfrm>
          <a:off x="8258175" y="504825"/>
          <a:ext cx="504825" cy="323850"/>
          <a:chOff x="914" y="53"/>
          <a:chExt cx="53" cy="34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914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967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14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914" y="8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1</xdr:row>
      <xdr:rowOff>333375</xdr:rowOff>
    </xdr:from>
    <xdr:to>
      <xdr:col>14</xdr:col>
      <xdr:colOff>571500</xdr:colOff>
      <xdr:row>1</xdr:row>
      <xdr:rowOff>657225</xdr:rowOff>
    </xdr:to>
    <xdr:grpSp>
      <xdr:nvGrpSpPr>
        <xdr:cNvPr id="16" name="Group 41"/>
        <xdr:cNvGrpSpPr>
          <a:grpSpLocks/>
        </xdr:cNvGrpSpPr>
      </xdr:nvGrpSpPr>
      <xdr:grpSpPr>
        <a:xfrm>
          <a:off x="8905875" y="504825"/>
          <a:ext cx="504825" cy="323850"/>
          <a:chOff x="982" y="53"/>
          <a:chExt cx="53" cy="34"/>
        </a:xfrm>
        <a:solidFill>
          <a:srgbClr val="FFFFFF"/>
        </a:solidFill>
      </xdr:grpSpPr>
      <xdr:sp>
        <xdr:nvSpPr>
          <xdr:cNvPr id="17" name="Line 16"/>
          <xdr:cNvSpPr>
            <a:spLocks/>
          </xdr:cNvSpPr>
        </xdr:nvSpPr>
        <xdr:spPr>
          <a:xfrm>
            <a:off x="982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1035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982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982" y="8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1</xdr:row>
      <xdr:rowOff>333375</xdr:rowOff>
    </xdr:from>
    <xdr:to>
      <xdr:col>15</xdr:col>
      <xdr:colOff>590550</xdr:colOff>
      <xdr:row>1</xdr:row>
      <xdr:rowOff>657225</xdr:rowOff>
    </xdr:to>
    <xdr:grpSp>
      <xdr:nvGrpSpPr>
        <xdr:cNvPr id="21" name="Group 42"/>
        <xdr:cNvGrpSpPr>
          <a:grpSpLocks/>
        </xdr:cNvGrpSpPr>
      </xdr:nvGrpSpPr>
      <xdr:grpSpPr>
        <a:xfrm>
          <a:off x="9610725" y="504825"/>
          <a:ext cx="504825" cy="323850"/>
          <a:chOff x="1056" y="53"/>
          <a:chExt cx="53" cy="34"/>
        </a:xfrm>
        <a:solidFill>
          <a:srgbClr val="FFFFFF"/>
        </a:solidFill>
      </xdr:grpSpPr>
      <xdr:sp>
        <xdr:nvSpPr>
          <xdr:cNvPr id="22" name="Line 20"/>
          <xdr:cNvSpPr>
            <a:spLocks/>
          </xdr:cNvSpPr>
        </xdr:nvSpPr>
        <xdr:spPr>
          <a:xfrm>
            <a:off x="1056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>
            <a:off x="1109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>
            <a:off x="1056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1056" y="8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1</xdr:row>
      <xdr:rowOff>333375</xdr:rowOff>
    </xdr:from>
    <xdr:to>
      <xdr:col>16</xdr:col>
      <xdr:colOff>600075</xdr:colOff>
      <xdr:row>1</xdr:row>
      <xdr:rowOff>657225</xdr:rowOff>
    </xdr:to>
    <xdr:grpSp>
      <xdr:nvGrpSpPr>
        <xdr:cNvPr id="26" name="Group 43"/>
        <xdr:cNvGrpSpPr>
          <a:grpSpLocks/>
        </xdr:cNvGrpSpPr>
      </xdr:nvGrpSpPr>
      <xdr:grpSpPr>
        <a:xfrm>
          <a:off x="10306050" y="504825"/>
          <a:ext cx="504825" cy="323850"/>
          <a:chOff x="1129" y="53"/>
          <a:chExt cx="53" cy="34"/>
        </a:xfrm>
        <a:solidFill>
          <a:srgbClr val="FFFFFF"/>
        </a:solidFill>
      </xdr:grpSpPr>
      <xdr:sp>
        <xdr:nvSpPr>
          <xdr:cNvPr id="27" name="Line 24"/>
          <xdr:cNvSpPr>
            <a:spLocks/>
          </xdr:cNvSpPr>
        </xdr:nvSpPr>
        <xdr:spPr>
          <a:xfrm>
            <a:off x="1129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8" name="Line 25"/>
          <xdr:cNvSpPr>
            <a:spLocks/>
          </xdr:cNvSpPr>
        </xdr:nvSpPr>
        <xdr:spPr>
          <a:xfrm>
            <a:off x="1182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29" name="Line 26"/>
          <xdr:cNvSpPr>
            <a:spLocks/>
          </xdr:cNvSpPr>
        </xdr:nvSpPr>
        <xdr:spPr>
          <a:xfrm>
            <a:off x="1129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0" name="Line 27"/>
          <xdr:cNvSpPr>
            <a:spLocks/>
          </xdr:cNvSpPr>
        </xdr:nvSpPr>
        <xdr:spPr>
          <a:xfrm>
            <a:off x="1129" y="86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1</xdr:row>
      <xdr:rowOff>333375</xdr:rowOff>
    </xdr:from>
    <xdr:to>
      <xdr:col>17</xdr:col>
      <xdr:colOff>590550</xdr:colOff>
      <xdr:row>1</xdr:row>
      <xdr:rowOff>657225</xdr:rowOff>
    </xdr:to>
    <xdr:grpSp>
      <xdr:nvGrpSpPr>
        <xdr:cNvPr id="31" name="Group 44"/>
        <xdr:cNvGrpSpPr>
          <a:grpSpLocks/>
        </xdr:cNvGrpSpPr>
      </xdr:nvGrpSpPr>
      <xdr:grpSpPr>
        <a:xfrm>
          <a:off x="10982325" y="504825"/>
          <a:ext cx="504825" cy="323850"/>
          <a:chOff x="1200" y="53"/>
          <a:chExt cx="53" cy="34"/>
        </a:xfrm>
        <a:solidFill>
          <a:srgbClr val="FFFFFF"/>
        </a:solidFill>
      </xdr:grpSpPr>
      <xdr:sp>
        <xdr:nvSpPr>
          <xdr:cNvPr id="32" name="Line 28"/>
          <xdr:cNvSpPr>
            <a:spLocks/>
          </xdr:cNvSpPr>
        </xdr:nvSpPr>
        <xdr:spPr>
          <a:xfrm>
            <a:off x="1200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3" name="Line 29"/>
          <xdr:cNvSpPr>
            <a:spLocks/>
          </xdr:cNvSpPr>
        </xdr:nvSpPr>
        <xdr:spPr>
          <a:xfrm>
            <a:off x="1253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4" name="Line 30"/>
          <xdr:cNvSpPr>
            <a:spLocks/>
          </xdr:cNvSpPr>
        </xdr:nvSpPr>
        <xdr:spPr>
          <a:xfrm>
            <a:off x="1200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5" name="Line 31"/>
          <xdr:cNvSpPr>
            <a:spLocks/>
          </xdr:cNvSpPr>
        </xdr:nvSpPr>
        <xdr:spPr>
          <a:xfrm>
            <a:off x="1200" y="86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1</xdr:row>
      <xdr:rowOff>333375</xdr:rowOff>
    </xdr:from>
    <xdr:to>
      <xdr:col>18</xdr:col>
      <xdr:colOff>600075</xdr:colOff>
      <xdr:row>1</xdr:row>
      <xdr:rowOff>657225</xdr:rowOff>
    </xdr:to>
    <xdr:grpSp>
      <xdr:nvGrpSpPr>
        <xdr:cNvPr id="36" name="Group 45"/>
        <xdr:cNvGrpSpPr>
          <a:grpSpLocks/>
        </xdr:cNvGrpSpPr>
      </xdr:nvGrpSpPr>
      <xdr:grpSpPr>
        <a:xfrm>
          <a:off x="11677650" y="504825"/>
          <a:ext cx="504825" cy="323850"/>
          <a:chOff x="1273" y="53"/>
          <a:chExt cx="53" cy="34"/>
        </a:xfrm>
        <a:solidFill>
          <a:srgbClr val="FFFFFF"/>
        </a:solidFill>
      </xdr:grpSpPr>
      <xdr:sp>
        <xdr:nvSpPr>
          <xdr:cNvPr id="37" name="Line 32"/>
          <xdr:cNvSpPr>
            <a:spLocks/>
          </xdr:cNvSpPr>
        </xdr:nvSpPr>
        <xdr:spPr>
          <a:xfrm>
            <a:off x="1273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8" name="Line 33"/>
          <xdr:cNvSpPr>
            <a:spLocks/>
          </xdr:cNvSpPr>
        </xdr:nvSpPr>
        <xdr:spPr>
          <a:xfrm>
            <a:off x="1326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9" name="Line 34"/>
          <xdr:cNvSpPr>
            <a:spLocks/>
          </xdr:cNvSpPr>
        </xdr:nvSpPr>
        <xdr:spPr>
          <a:xfrm>
            <a:off x="1273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0" name="Line 35"/>
          <xdr:cNvSpPr>
            <a:spLocks/>
          </xdr:cNvSpPr>
        </xdr:nvSpPr>
        <xdr:spPr>
          <a:xfrm>
            <a:off x="1273" y="86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</xdr:row>
      <xdr:rowOff>333375</xdr:rowOff>
    </xdr:from>
    <xdr:to>
      <xdr:col>19</xdr:col>
      <xdr:colOff>590550</xdr:colOff>
      <xdr:row>1</xdr:row>
      <xdr:rowOff>657225</xdr:rowOff>
    </xdr:to>
    <xdr:grpSp>
      <xdr:nvGrpSpPr>
        <xdr:cNvPr id="41" name="Group 46"/>
        <xdr:cNvGrpSpPr>
          <a:grpSpLocks/>
        </xdr:cNvGrpSpPr>
      </xdr:nvGrpSpPr>
      <xdr:grpSpPr>
        <a:xfrm>
          <a:off x="12353925" y="504825"/>
          <a:ext cx="504825" cy="323850"/>
          <a:chOff x="1344" y="53"/>
          <a:chExt cx="53" cy="34"/>
        </a:xfrm>
        <a:solidFill>
          <a:srgbClr val="FFFFFF"/>
        </a:solidFill>
      </xdr:grpSpPr>
      <xdr:sp>
        <xdr:nvSpPr>
          <xdr:cNvPr id="42" name="Line 36"/>
          <xdr:cNvSpPr>
            <a:spLocks/>
          </xdr:cNvSpPr>
        </xdr:nvSpPr>
        <xdr:spPr>
          <a:xfrm>
            <a:off x="1344" y="53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3" name="Line 37"/>
          <xdr:cNvSpPr>
            <a:spLocks/>
          </xdr:cNvSpPr>
        </xdr:nvSpPr>
        <xdr:spPr>
          <a:xfrm>
            <a:off x="1397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4" name="Line 38"/>
          <xdr:cNvSpPr>
            <a:spLocks/>
          </xdr:cNvSpPr>
        </xdr:nvSpPr>
        <xdr:spPr>
          <a:xfrm>
            <a:off x="1344" y="53"/>
            <a:ext cx="0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5" name="Line 39"/>
          <xdr:cNvSpPr>
            <a:spLocks/>
          </xdr:cNvSpPr>
        </xdr:nvSpPr>
        <xdr:spPr>
          <a:xfrm>
            <a:off x="1344" y="86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1</xdr:row>
      <xdr:rowOff>381000</xdr:rowOff>
    </xdr:from>
    <xdr:to>
      <xdr:col>11</xdr:col>
      <xdr:colOff>495300</xdr:colOff>
      <xdr:row>1</xdr:row>
      <xdr:rowOff>590550</xdr:rowOff>
    </xdr:to>
    <xdr:sp>
      <xdr:nvSpPr>
        <xdr:cNvPr id="46" name="Rectangle 47" descr="Granite"/>
        <xdr:cNvSpPr>
          <a:spLocks/>
        </xdr:cNvSpPr>
      </xdr:nvSpPr>
      <xdr:spPr>
        <a:xfrm>
          <a:off x="6934200" y="552450"/>
          <a:ext cx="342900" cy="2095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381000</xdr:rowOff>
    </xdr:from>
    <xdr:to>
      <xdr:col>12</xdr:col>
      <xdr:colOff>495300</xdr:colOff>
      <xdr:row>1</xdr:row>
      <xdr:rowOff>590550</xdr:rowOff>
    </xdr:to>
    <xdr:sp>
      <xdr:nvSpPr>
        <xdr:cNvPr id="47" name="Rectangle 48" descr="Granite"/>
        <xdr:cNvSpPr>
          <a:spLocks/>
        </xdr:cNvSpPr>
      </xdr:nvSpPr>
      <xdr:spPr>
        <a:xfrm>
          <a:off x="7620000" y="552450"/>
          <a:ext cx="342900" cy="2095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180975</xdr:colOff>
      <xdr:row>1</xdr:row>
      <xdr:rowOff>381000</xdr:rowOff>
    </xdr:from>
    <xdr:to>
      <xdr:col>13</xdr:col>
      <xdr:colOff>523875</xdr:colOff>
      <xdr:row>1</xdr:row>
      <xdr:rowOff>590550</xdr:rowOff>
    </xdr:to>
    <xdr:sp>
      <xdr:nvSpPr>
        <xdr:cNvPr id="48" name="Rectangle 49" descr="Granite"/>
        <xdr:cNvSpPr>
          <a:spLocks/>
        </xdr:cNvSpPr>
      </xdr:nvSpPr>
      <xdr:spPr>
        <a:xfrm>
          <a:off x="8334375" y="552450"/>
          <a:ext cx="342900" cy="2095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142875</xdr:colOff>
      <xdr:row>1</xdr:row>
      <xdr:rowOff>381000</xdr:rowOff>
    </xdr:from>
    <xdr:to>
      <xdr:col>14</xdr:col>
      <xdr:colOff>485775</xdr:colOff>
      <xdr:row>1</xdr:row>
      <xdr:rowOff>590550</xdr:rowOff>
    </xdr:to>
    <xdr:sp>
      <xdr:nvSpPr>
        <xdr:cNvPr id="49" name="Rectangle 50" descr="Granite"/>
        <xdr:cNvSpPr>
          <a:spLocks/>
        </xdr:cNvSpPr>
      </xdr:nvSpPr>
      <xdr:spPr>
        <a:xfrm>
          <a:off x="8982075" y="552450"/>
          <a:ext cx="342900" cy="2095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15</xdr:col>
      <xdr:colOff>152400</xdr:colOff>
      <xdr:row>1</xdr:row>
      <xdr:rowOff>381000</xdr:rowOff>
    </xdr:from>
    <xdr:to>
      <xdr:col>15</xdr:col>
      <xdr:colOff>495300</xdr:colOff>
      <xdr:row>1</xdr:row>
      <xdr:rowOff>590550</xdr:rowOff>
    </xdr:to>
    <xdr:sp>
      <xdr:nvSpPr>
        <xdr:cNvPr id="50" name="Rectangle 51" descr="Granite"/>
        <xdr:cNvSpPr>
          <a:spLocks/>
        </xdr:cNvSpPr>
      </xdr:nvSpPr>
      <xdr:spPr>
        <a:xfrm>
          <a:off x="9677400" y="552450"/>
          <a:ext cx="342900" cy="209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16</xdr:col>
      <xdr:colOff>171450</xdr:colOff>
      <xdr:row>1</xdr:row>
      <xdr:rowOff>381000</xdr:rowOff>
    </xdr:from>
    <xdr:to>
      <xdr:col>16</xdr:col>
      <xdr:colOff>514350</xdr:colOff>
      <xdr:row>1</xdr:row>
      <xdr:rowOff>590550</xdr:rowOff>
    </xdr:to>
    <xdr:sp>
      <xdr:nvSpPr>
        <xdr:cNvPr id="51" name="Rectangle 52" descr="Granite"/>
        <xdr:cNvSpPr>
          <a:spLocks/>
        </xdr:cNvSpPr>
      </xdr:nvSpPr>
      <xdr:spPr>
        <a:xfrm>
          <a:off x="10382250" y="552450"/>
          <a:ext cx="342900" cy="2095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17</xdr:col>
      <xdr:colOff>161925</xdr:colOff>
      <xdr:row>1</xdr:row>
      <xdr:rowOff>381000</xdr:rowOff>
    </xdr:from>
    <xdr:to>
      <xdr:col>17</xdr:col>
      <xdr:colOff>504825</xdr:colOff>
      <xdr:row>1</xdr:row>
      <xdr:rowOff>590550</xdr:rowOff>
    </xdr:to>
    <xdr:sp>
      <xdr:nvSpPr>
        <xdr:cNvPr id="52" name="Rectangle 53" descr="Granite"/>
        <xdr:cNvSpPr>
          <a:spLocks/>
        </xdr:cNvSpPr>
      </xdr:nvSpPr>
      <xdr:spPr>
        <a:xfrm>
          <a:off x="11058525" y="552450"/>
          <a:ext cx="342900" cy="2095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18</xdr:col>
      <xdr:colOff>171450</xdr:colOff>
      <xdr:row>1</xdr:row>
      <xdr:rowOff>381000</xdr:rowOff>
    </xdr:from>
    <xdr:to>
      <xdr:col>18</xdr:col>
      <xdr:colOff>514350</xdr:colOff>
      <xdr:row>1</xdr:row>
      <xdr:rowOff>590550</xdr:rowOff>
    </xdr:to>
    <xdr:sp>
      <xdr:nvSpPr>
        <xdr:cNvPr id="53" name="Rectangle 54" descr="Granite"/>
        <xdr:cNvSpPr>
          <a:spLocks/>
        </xdr:cNvSpPr>
      </xdr:nvSpPr>
      <xdr:spPr>
        <a:xfrm>
          <a:off x="11753850" y="552450"/>
          <a:ext cx="342900" cy="2095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381000</xdr:rowOff>
    </xdr:from>
    <xdr:to>
      <xdr:col>19</xdr:col>
      <xdr:colOff>504825</xdr:colOff>
      <xdr:row>1</xdr:row>
      <xdr:rowOff>590550</xdr:rowOff>
    </xdr:to>
    <xdr:sp>
      <xdr:nvSpPr>
        <xdr:cNvPr id="54" name="Rectangle 55" descr="Granite"/>
        <xdr:cNvSpPr>
          <a:spLocks/>
        </xdr:cNvSpPr>
      </xdr:nvSpPr>
      <xdr:spPr>
        <a:xfrm>
          <a:off x="12430125" y="552450"/>
          <a:ext cx="342900" cy="2095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9525</xdr:rowOff>
    </xdr:from>
    <xdr:to>
      <xdr:col>10</xdr:col>
      <xdr:colOff>180975</xdr:colOff>
      <xdr:row>6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01375" y="561975"/>
          <a:ext cx="628650" cy="952500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123825</xdr:rowOff>
    </xdr:from>
    <xdr:to>
      <xdr:col>9</xdr:col>
      <xdr:colOff>552450</xdr:colOff>
      <xdr:row>14</xdr:row>
      <xdr:rowOff>142875</xdr:rowOff>
    </xdr:to>
    <xdr:sp>
      <xdr:nvSpPr>
        <xdr:cNvPr id="2" name="Straight Arrow Connector 3"/>
        <xdr:cNvSpPr>
          <a:spLocks/>
        </xdr:cNvSpPr>
      </xdr:nvSpPr>
      <xdr:spPr>
        <a:xfrm flipV="1">
          <a:off x="5943600" y="1514475"/>
          <a:ext cx="5372100" cy="1466850"/>
        </a:xfrm>
        <a:prstGeom prst="bentConnector2">
          <a:avLst/>
        </a:prstGeom>
        <a:noFill/>
        <a:ln w="254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285750</xdr:colOff>
      <xdr:row>13</xdr:row>
      <xdr:rowOff>114300</xdr:rowOff>
    </xdr:from>
    <xdr:to>
      <xdr:col>7</xdr:col>
      <xdr:colOff>571500</xdr:colOff>
      <xdr:row>15</xdr:row>
      <xdr:rowOff>114300</xdr:rowOff>
    </xdr:to>
    <xdr:sp>
      <xdr:nvSpPr>
        <xdr:cNvPr id="3" name="Rectangle 7"/>
        <xdr:cNvSpPr>
          <a:spLocks/>
        </xdr:cNvSpPr>
      </xdr:nvSpPr>
      <xdr:spPr>
        <a:xfrm>
          <a:off x="7362825" y="2781300"/>
          <a:ext cx="19145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Compare with hmin</a:t>
          </a:r>
        </a:p>
      </xdr:txBody>
    </xdr:sp>
    <xdr:clientData/>
  </xdr:twoCellAnchor>
  <xdr:twoCellAnchor>
    <xdr:from>
      <xdr:col>7</xdr:col>
      <xdr:colOff>352425</xdr:colOff>
      <xdr:row>35</xdr:row>
      <xdr:rowOff>76200</xdr:rowOff>
    </xdr:from>
    <xdr:to>
      <xdr:col>18</xdr:col>
      <xdr:colOff>628650</xdr:colOff>
      <xdr:row>45</xdr:row>
      <xdr:rowOff>57150</xdr:rowOff>
    </xdr:to>
    <xdr:grpSp>
      <xdr:nvGrpSpPr>
        <xdr:cNvPr id="4" name="Group 27"/>
        <xdr:cNvGrpSpPr>
          <a:grpSpLocks/>
        </xdr:cNvGrpSpPr>
      </xdr:nvGrpSpPr>
      <xdr:grpSpPr>
        <a:xfrm>
          <a:off x="9058275" y="6905625"/>
          <a:ext cx="9496425" cy="1847850"/>
          <a:chOff x="8239123" y="3800475"/>
          <a:chExt cx="6257552" cy="1928814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>
            <a:off x="8239123" y="4595629"/>
            <a:ext cx="5753819" cy="338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 rot="5400000">
            <a:off x="7377146" y="4664101"/>
            <a:ext cx="1978951" cy="2507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 rot="5400000">
            <a:off x="9970901" y="4634205"/>
            <a:ext cx="1919504" cy="2507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 rot="5400000">
            <a:off x="12528675" y="4666030"/>
            <a:ext cx="1968000" cy="2570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>
    <xdr:from>
      <xdr:col>7</xdr:col>
      <xdr:colOff>762000</xdr:colOff>
      <xdr:row>43</xdr:row>
      <xdr:rowOff>152400</xdr:rowOff>
    </xdr:from>
    <xdr:to>
      <xdr:col>11</xdr:col>
      <xdr:colOff>609600</xdr:colOff>
      <xdr:row>45</xdr:row>
      <xdr:rowOff>133350</xdr:rowOff>
    </xdr:to>
    <xdr:grpSp>
      <xdr:nvGrpSpPr>
        <xdr:cNvPr id="9" name="Group 8"/>
        <xdr:cNvGrpSpPr>
          <a:grpSpLocks/>
        </xdr:cNvGrpSpPr>
      </xdr:nvGrpSpPr>
      <xdr:grpSpPr>
        <a:xfrm>
          <a:off x="9467850" y="8505825"/>
          <a:ext cx="3495675" cy="323850"/>
          <a:chOff x="9467850" y="8505826"/>
          <a:chExt cx="3495675" cy="333376"/>
        </a:xfrm>
        <a:solidFill>
          <a:srgbClr val="FFFFFF"/>
        </a:solidFill>
      </xdr:grpSpPr>
      <xdr:sp>
        <xdr:nvSpPr>
          <xdr:cNvPr id="10" name="Straight Arrow Connector 3"/>
          <xdr:cNvSpPr>
            <a:spLocks/>
          </xdr:cNvSpPr>
        </xdr:nvSpPr>
        <xdr:spPr>
          <a:xfrm>
            <a:off x="9467850" y="8601088"/>
            <a:ext cx="3495675" cy="190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1" name="Rectangle 14"/>
          <xdr:cNvSpPr>
            <a:spLocks/>
          </xdr:cNvSpPr>
        </xdr:nvSpPr>
        <xdr:spPr>
          <a:xfrm rot="5400000">
            <a:off x="11001577" y="8429734"/>
            <a:ext cx="256932" cy="4095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Ln1</a:t>
            </a:r>
          </a:p>
        </xdr:txBody>
      </xdr:sp>
    </xdr:grpSp>
    <xdr:clientData/>
  </xdr:twoCellAnchor>
  <xdr:twoCellAnchor>
    <xdr:from>
      <xdr:col>12</xdr:col>
      <xdr:colOff>314325</xdr:colOff>
      <xdr:row>43</xdr:row>
      <xdr:rowOff>161925</xdr:rowOff>
    </xdr:from>
    <xdr:to>
      <xdr:col>16</xdr:col>
      <xdr:colOff>514350</xdr:colOff>
      <xdr:row>45</xdr:row>
      <xdr:rowOff>142875</xdr:rowOff>
    </xdr:to>
    <xdr:grpSp>
      <xdr:nvGrpSpPr>
        <xdr:cNvPr id="12" name="Group 16"/>
        <xdr:cNvGrpSpPr>
          <a:grpSpLocks/>
        </xdr:cNvGrpSpPr>
      </xdr:nvGrpSpPr>
      <xdr:grpSpPr>
        <a:xfrm>
          <a:off x="13354050" y="8515350"/>
          <a:ext cx="3495675" cy="323850"/>
          <a:chOff x="9467850" y="8505826"/>
          <a:chExt cx="3495675" cy="333376"/>
        </a:xfrm>
        <a:solidFill>
          <a:srgbClr val="FFFFFF"/>
        </a:solidFill>
      </xdr:grpSpPr>
      <xdr:sp>
        <xdr:nvSpPr>
          <xdr:cNvPr id="13" name="Straight Arrow Connector 17"/>
          <xdr:cNvSpPr>
            <a:spLocks/>
          </xdr:cNvSpPr>
        </xdr:nvSpPr>
        <xdr:spPr>
          <a:xfrm>
            <a:off x="9467850" y="8601088"/>
            <a:ext cx="3495675" cy="190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4" name="Rectangle 18"/>
          <xdr:cNvSpPr>
            <a:spLocks/>
          </xdr:cNvSpPr>
        </xdr:nvSpPr>
        <xdr:spPr>
          <a:xfrm rot="5400000">
            <a:off x="11001577" y="8429734"/>
            <a:ext cx="256932" cy="4095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Ln2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9525</xdr:rowOff>
    </xdr:from>
    <xdr:ext cx="1609725" cy="657225"/>
    <xdr:sp>
      <xdr:nvSpPr>
        <xdr:cNvPr id="1" name="TextBox 1"/>
        <xdr:cNvSpPr txBox="1">
          <a:spLocks noChangeArrowheads="1"/>
        </xdr:cNvSpPr>
      </xdr:nvSpPr>
      <xdr:spPr>
        <a:xfrm>
          <a:off x="9525" y="257175"/>
          <a:ext cx="1609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120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Di=(5KMal^2)/48EcIe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19</xdr:row>
      <xdr:rowOff>76200</xdr:rowOff>
    </xdr:from>
    <xdr:to>
      <xdr:col>7</xdr:col>
      <xdr:colOff>809625</xdr:colOff>
      <xdr:row>25</xdr:row>
      <xdr:rowOff>161925</xdr:rowOff>
    </xdr:to>
    <xdr:grpSp>
      <xdr:nvGrpSpPr>
        <xdr:cNvPr id="1" name="Group 18"/>
        <xdr:cNvGrpSpPr>
          <a:grpSpLocks/>
        </xdr:cNvGrpSpPr>
      </xdr:nvGrpSpPr>
      <xdr:grpSpPr>
        <a:xfrm>
          <a:off x="4572000" y="4914900"/>
          <a:ext cx="2009775" cy="1571625"/>
          <a:chOff x="670" y="58"/>
          <a:chExt cx="211" cy="166"/>
        </a:xfrm>
        <a:solidFill>
          <a:srgbClr val="FFFFFF"/>
        </a:solidFill>
      </xdr:grpSpPr>
      <xdr:sp>
        <xdr:nvSpPr>
          <xdr:cNvPr id="2" name="Rectangle 1"/>
          <xdr:cNvSpPr>
            <a:spLocks noChangeAspect="1"/>
          </xdr:cNvSpPr>
        </xdr:nvSpPr>
        <xdr:spPr>
          <a:xfrm>
            <a:off x="670" y="58"/>
            <a:ext cx="211" cy="16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3" name="AutoShape 2"/>
          <xdr:cNvSpPr>
            <a:spLocks noChangeAspect="1"/>
          </xdr:cNvSpPr>
        </xdr:nvSpPr>
        <xdr:spPr>
          <a:xfrm>
            <a:off x="690" y="83"/>
            <a:ext cx="169" cy="117"/>
          </a:xfrm>
          <a:prstGeom prst="round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4" name="Oval 3"/>
          <xdr:cNvSpPr>
            <a:spLocks noChangeAspect="1"/>
          </xdr:cNvSpPr>
        </xdr:nvSpPr>
        <xdr:spPr>
          <a:xfrm>
            <a:off x="696" y="8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5" name="Oval 6"/>
          <xdr:cNvSpPr>
            <a:spLocks noChangeAspect="1"/>
          </xdr:cNvSpPr>
        </xdr:nvSpPr>
        <xdr:spPr>
          <a:xfrm>
            <a:off x="834" y="8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6" name="Oval 7"/>
          <xdr:cNvSpPr>
            <a:spLocks noChangeAspect="1"/>
          </xdr:cNvSpPr>
        </xdr:nvSpPr>
        <xdr:spPr>
          <a:xfrm>
            <a:off x="731" y="8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7" name="Oval 8"/>
          <xdr:cNvSpPr>
            <a:spLocks noChangeAspect="1"/>
          </xdr:cNvSpPr>
        </xdr:nvSpPr>
        <xdr:spPr>
          <a:xfrm>
            <a:off x="801" y="8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8" name="Oval 9"/>
          <xdr:cNvSpPr>
            <a:spLocks noChangeAspect="1"/>
          </xdr:cNvSpPr>
        </xdr:nvSpPr>
        <xdr:spPr>
          <a:xfrm>
            <a:off x="696" y="17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9" name="Oval 10"/>
          <xdr:cNvSpPr>
            <a:spLocks noChangeAspect="1"/>
          </xdr:cNvSpPr>
        </xdr:nvSpPr>
        <xdr:spPr>
          <a:xfrm>
            <a:off x="834" y="17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0" name="Oval 11"/>
          <xdr:cNvSpPr>
            <a:spLocks noChangeAspect="1"/>
          </xdr:cNvSpPr>
        </xdr:nvSpPr>
        <xdr:spPr>
          <a:xfrm>
            <a:off x="731" y="17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1" name="Oval 12"/>
          <xdr:cNvSpPr>
            <a:spLocks noChangeAspect="1"/>
          </xdr:cNvSpPr>
        </xdr:nvSpPr>
        <xdr:spPr>
          <a:xfrm>
            <a:off x="801" y="17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2" name="Oval 13"/>
          <xdr:cNvSpPr>
            <a:spLocks noChangeAspect="1"/>
          </xdr:cNvSpPr>
        </xdr:nvSpPr>
        <xdr:spPr>
          <a:xfrm>
            <a:off x="697" y="134"/>
            <a:ext cx="17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3" name="Oval 14"/>
          <xdr:cNvSpPr>
            <a:spLocks noChangeAspect="1"/>
          </xdr:cNvSpPr>
        </xdr:nvSpPr>
        <xdr:spPr>
          <a:xfrm>
            <a:off x="835" y="134"/>
            <a:ext cx="17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4" name="Oval 16"/>
          <xdr:cNvSpPr>
            <a:spLocks noChangeAspect="1"/>
          </xdr:cNvSpPr>
        </xdr:nvSpPr>
        <xdr:spPr>
          <a:xfrm>
            <a:off x="766" y="8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15" name="Oval 17"/>
          <xdr:cNvSpPr>
            <a:spLocks noChangeAspect="1"/>
          </xdr:cNvSpPr>
        </xdr:nvSpPr>
        <xdr:spPr>
          <a:xfrm>
            <a:off x="766" y="178"/>
            <a:ext cx="17" cy="1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104775</xdr:rowOff>
    </xdr:from>
    <xdr:to>
      <xdr:col>2</xdr:col>
      <xdr:colOff>790575</xdr:colOff>
      <xdr:row>2</xdr:row>
      <xdr:rowOff>152400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257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5"/>
  <sheetViews>
    <sheetView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9.00390625" style="2" customWidth="1"/>
    <col min="2" max="2" width="7.75390625" style="4" customWidth="1"/>
    <col min="3" max="4" width="7.75390625" style="2" customWidth="1"/>
    <col min="5" max="5" width="7.75390625" style="5" customWidth="1"/>
    <col min="6" max="9" width="7.75390625" style="2" customWidth="1"/>
    <col min="10" max="16384" width="9.00390625" style="2" customWidth="1"/>
  </cols>
  <sheetData>
    <row r="1" ht="13.5">
      <c r="J1" s="5" t="s">
        <v>45</v>
      </c>
    </row>
    <row r="2" spans="2:9" ht="60" customHeight="1">
      <c r="B2" s="6" t="s">
        <v>0</v>
      </c>
      <c r="C2" s="6"/>
      <c r="D2" s="7"/>
      <c r="E2" s="7"/>
      <c r="F2" s="7"/>
      <c r="G2" s="7"/>
      <c r="H2" s="7"/>
      <c r="I2" s="7"/>
    </row>
    <row r="3" spans="2:4" ht="21" customHeight="1">
      <c r="B3" s="31" t="s">
        <v>52</v>
      </c>
      <c r="D3" s="63" t="s">
        <v>68</v>
      </c>
    </row>
    <row r="4" spans="2:29" ht="14.25" thickBot="1">
      <c r="B4" s="32" t="s">
        <v>1</v>
      </c>
      <c r="C4" s="33"/>
      <c r="D4" s="33"/>
      <c r="E4" s="34"/>
      <c r="F4" s="33"/>
      <c r="G4" s="35" t="s">
        <v>9</v>
      </c>
      <c r="H4" s="33"/>
      <c r="I4" s="33"/>
      <c r="J4" s="2">
        <f>ROUND(la/lb,3)</f>
        <v>0.924</v>
      </c>
      <c r="K4" s="8" t="s">
        <v>28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2:29" ht="14.25" thickBot="1">
      <c r="B5" s="34" t="s">
        <v>44</v>
      </c>
      <c r="C5" s="33" t="s">
        <v>7</v>
      </c>
      <c r="D5" s="36">
        <v>2</v>
      </c>
      <c r="E5" s="34"/>
      <c r="F5" s="33"/>
      <c r="G5" s="33"/>
      <c r="H5" s="33"/>
      <c r="I5" s="33"/>
      <c r="J5" s="2">
        <f>IF(t&gt;0.674,0.7,IF(t&gt;0.624,0.65,IF(t&gt;0.574,0.6,IF(t&gt;0.524,0.55,0.5))))</f>
        <v>0.7</v>
      </c>
      <c r="K5" s="9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  <c r="Q5" s="10" t="s">
        <v>35</v>
      </c>
      <c r="R5" s="10" t="s">
        <v>36</v>
      </c>
      <c r="S5" s="10" t="s">
        <v>37</v>
      </c>
      <c r="T5" s="11" t="s">
        <v>38</v>
      </c>
      <c r="U5" s="10" t="s">
        <v>30</v>
      </c>
      <c r="V5" s="10" t="s">
        <v>31</v>
      </c>
      <c r="W5" s="10" t="s">
        <v>32</v>
      </c>
      <c r="X5" s="10" t="s">
        <v>33</v>
      </c>
      <c r="Y5" s="10" t="s">
        <v>34</v>
      </c>
      <c r="Z5" s="10" t="s">
        <v>35</v>
      </c>
      <c r="AA5" s="10" t="s">
        <v>36</v>
      </c>
      <c r="AB5" s="10" t="s">
        <v>37</v>
      </c>
      <c r="AC5" s="11" t="s">
        <v>38</v>
      </c>
    </row>
    <row r="6" spans="2:29" ht="13.5">
      <c r="B6" s="37" t="s">
        <v>2</v>
      </c>
      <c r="C6" s="33" t="s">
        <v>7</v>
      </c>
      <c r="D6" s="36">
        <v>13.0833</v>
      </c>
      <c r="E6" s="34" t="s">
        <v>13</v>
      </c>
      <c r="F6" s="33"/>
      <c r="G6" s="34" t="s">
        <v>29</v>
      </c>
      <c r="H6" s="33" t="s">
        <v>7</v>
      </c>
      <c r="I6" s="38">
        <f>IF(t&gt;0.974,1,IF(t&gt;0.924,0.95,IF(t&gt;0.874,0.9,IF(t&gt;0.824,0.85,IF(t&gt;0.774,0.8,IF(t&gt;0.724,0.75,if))))))</f>
        <v>0.9</v>
      </c>
      <c r="J6" s="2">
        <f>CN+1</f>
        <v>3</v>
      </c>
      <c r="K6" s="12">
        <v>0.5</v>
      </c>
      <c r="L6" s="13">
        <v>0</v>
      </c>
      <c r="M6" s="13">
        <v>0.086</v>
      </c>
      <c r="N6" s="13">
        <v>0</v>
      </c>
      <c r="O6" s="13">
        <v>0.094</v>
      </c>
      <c r="P6" s="13">
        <v>0.09</v>
      </c>
      <c r="Q6" s="13">
        <v>0.097</v>
      </c>
      <c r="R6" s="13">
        <v>0</v>
      </c>
      <c r="S6" s="13">
        <v>0.089</v>
      </c>
      <c r="T6" s="14">
        <v>0.088</v>
      </c>
      <c r="U6" s="13">
        <v>0</v>
      </c>
      <c r="V6" s="13">
        <v>0.006</v>
      </c>
      <c r="W6" s="13">
        <v>0.022</v>
      </c>
      <c r="X6" s="13">
        <v>0.006</v>
      </c>
      <c r="Y6" s="13">
        <v>0</v>
      </c>
      <c r="Z6" s="13">
        <v>0</v>
      </c>
      <c r="AA6" s="13">
        <v>0.014</v>
      </c>
      <c r="AB6" s="13">
        <v>0.01</v>
      </c>
      <c r="AC6" s="14">
        <v>0.003</v>
      </c>
    </row>
    <row r="7" spans="2:29" ht="13.5">
      <c r="B7" s="37" t="s">
        <v>3</v>
      </c>
      <c r="C7" s="33" t="s">
        <v>7</v>
      </c>
      <c r="D7" s="36">
        <v>14.166666</v>
      </c>
      <c r="E7" s="34" t="s">
        <v>13</v>
      </c>
      <c r="F7" s="33"/>
      <c r="G7" s="34" t="s">
        <v>53</v>
      </c>
      <c r="H7" s="33" t="s">
        <v>7</v>
      </c>
      <c r="I7" s="39">
        <f>Tab11</f>
        <v>0.055</v>
      </c>
      <c r="J7" s="2">
        <f>CN+10</f>
        <v>12</v>
      </c>
      <c r="K7" s="15">
        <v>0.550000000000001</v>
      </c>
      <c r="L7" s="16">
        <v>0</v>
      </c>
      <c r="M7" s="16">
        <v>0.084</v>
      </c>
      <c r="N7" s="16">
        <v>0</v>
      </c>
      <c r="O7" s="16">
        <v>0.092</v>
      </c>
      <c r="P7" s="16">
        <v>0.089</v>
      </c>
      <c r="Q7" s="16">
        <v>0.096</v>
      </c>
      <c r="R7" s="16">
        <v>0</v>
      </c>
      <c r="S7" s="16">
        <v>0.085</v>
      </c>
      <c r="T7" s="17">
        <v>0.086</v>
      </c>
      <c r="U7" s="16">
        <v>0</v>
      </c>
      <c r="V7" s="16">
        <v>0.007</v>
      </c>
      <c r="W7" s="16">
        <v>0.028</v>
      </c>
      <c r="X7" s="16">
        <v>0.008</v>
      </c>
      <c r="Y7" s="16">
        <v>0</v>
      </c>
      <c r="Z7" s="16">
        <v>0</v>
      </c>
      <c r="AA7" s="16">
        <v>0.019</v>
      </c>
      <c r="AB7" s="16">
        <v>0.014</v>
      </c>
      <c r="AC7" s="17">
        <v>0.005</v>
      </c>
    </row>
    <row r="8" spans="2:29" ht="13.5">
      <c r="B8" s="37" t="s">
        <v>4</v>
      </c>
      <c r="C8" s="33" t="s">
        <v>7</v>
      </c>
      <c r="D8" s="36">
        <v>2.5</v>
      </c>
      <c r="E8" s="34" t="s">
        <v>14</v>
      </c>
      <c r="F8" s="33"/>
      <c r="G8" s="34" t="s">
        <v>54</v>
      </c>
      <c r="H8" s="33" t="s">
        <v>7</v>
      </c>
      <c r="I8" s="39">
        <f>Tab12</f>
        <v>0.037</v>
      </c>
      <c r="K8" s="15">
        <v>0.6</v>
      </c>
      <c r="L8" s="16">
        <v>0</v>
      </c>
      <c r="M8" s="16">
        <v>0.081</v>
      </c>
      <c r="N8" s="16">
        <v>0</v>
      </c>
      <c r="O8" s="16">
        <v>0.089</v>
      </c>
      <c r="P8" s="16">
        <v>0.088</v>
      </c>
      <c r="Q8" s="16">
        <v>0.095</v>
      </c>
      <c r="R8" s="16">
        <v>0</v>
      </c>
      <c r="S8" s="16">
        <v>0.08</v>
      </c>
      <c r="T8" s="17">
        <v>0.085</v>
      </c>
      <c r="U8" s="16">
        <v>0</v>
      </c>
      <c r="V8" s="16">
        <v>0.01</v>
      </c>
      <c r="W8" s="16">
        <v>0.035</v>
      </c>
      <c r="X8" s="16">
        <v>0.011</v>
      </c>
      <c r="Y8" s="16">
        <v>0</v>
      </c>
      <c r="Z8" s="16">
        <v>0</v>
      </c>
      <c r="AA8" s="16">
        <v>0.024</v>
      </c>
      <c r="AB8" s="16">
        <v>0.018</v>
      </c>
      <c r="AC8" s="17">
        <v>0.006</v>
      </c>
    </row>
    <row r="9" spans="2:29" ht="13.5">
      <c r="B9" s="37" t="s">
        <v>5</v>
      </c>
      <c r="C9" s="33" t="s">
        <v>7</v>
      </c>
      <c r="D9" s="36">
        <v>40</v>
      </c>
      <c r="E9" s="34" t="s">
        <v>14</v>
      </c>
      <c r="F9" s="33"/>
      <c r="G9" s="34" t="s">
        <v>55</v>
      </c>
      <c r="H9" s="33" t="s">
        <v>7</v>
      </c>
      <c r="I9" s="39">
        <f>Tab21</f>
        <v>0.022</v>
      </c>
      <c r="J9" s="3">
        <f>VLOOKUP(m,Table1,Cna,Range1)</f>
        <v>0.055</v>
      </c>
      <c r="K9" s="15">
        <v>0.65</v>
      </c>
      <c r="L9" s="16">
        <v>0</v>
      </c>
      <c r="M9" s="16">
        <v>0.077</v>
      </c>
      <c r="N9" s="16">
        <v>0</v>
      </c>
      <c r="O9" s="16">
        <v>0.085</v>
      </c>
      <c r="P9" s="16">
        <v>0.087</v>
      </c>
      <c r="Q9" s="16">
        <v>0.093</v>
      </c>
      <c r="R9" s="16">
        <v>0</v>
      </c>
      <c r="S9" s="16">
        <v>0.074</v>
      </c>
      <c r="T9" s="17">
        <v>0.083</v>
      </c>
      <c r="U9" s="16">
        <v>0</v>
      </c>
      <c r="V9" s="16">
        <v>0.014</v>
      </c>
      <c r="W9" s="16">
        <v>0.043</v>
      </c>
      <c r="X9" s="16">
        <v>0.015</v>
      </c>
      <c r="Y9" s="16">
        <v>0</v>
      </c>
      <c r="Z9" s="16">
        <v>0</v>
      </c>
      <c r="AA9" s="16">
        <v>0.031</v>
      </c>
      <c r="AB9" s="16">
        <v>0.024</v>
      </c>
      <c r="AC9" s="17">
        <v>0.008</v>
      </c>
    </row>
    <row r="10" spans="2:29" ht="13.5">
      <c r="B10" s="37" t="s">
        <v>8</v>
      </c>
      <c r="C10" s="33" t="s">
        <v>7</v>
      </c>
      <c r="D10" s="36">
        <v>0.1</v>
      </c>
      <c r="E10" s="34" t="s">
        <v>56</v>
      </c>
      <c r="F10" s="33"/>
      <c r="G10" s="34" t="s">
        <v>57</v>
      </c>
      <c r="H10" s="33" t="s">
        <v>7</v>
      </c>
      <c r="I10" s="39">
        <f>Tab22</f>
        <v>0.014</v>
      </c>
      <c r="J10" s="3">
        <f>VLOOKUP(m,Table1,Cnb,Range1)</f>
        <v>0.037</v>
      </c>
      <c r="K10" s="15">
        <v>0.7</v>
      </c>
      <c r="L10" s="16">
        <v>0</v>
      </c>
      <c r="M10" s="16">
        <v>0.074</v>
      </c>
      <c r="N10" s="16">
        <v>0</v>
      </c>
      <c r="O10" s="16">
        <v>0.081</v>
      </c>
      <c r="P10" s="16">
        <v>0.086</v>
      </c>
      <c r="Q10" s="16">
        <v>0.091</v>
      </c>
      <c r="R10" s="16">
        <v>0</v>
      </c>
      <c r="S10" s="16">
        <v>0.068</v>
      </c>
      <c r="T10" s="17">
        <v>0.081</v>
      </c>
      <c r="U10" s="16">
        <v>0</v>
      </c>
      <c r="V10" s="16">
        <v>0.017</v>
      </c>
      <c r="W10" s="16">
        <v>0.05</v>
      </c>
      <c r="X10" s="16">
        <v>0.019</v>
      </c>
      <c r="Y10" s="16">
        <v>0</v>
      </c>
      <c r="Z10" s="16">
        <v>0</v>
      </c>
      <c r="AA10" s="16">
        <v>0.038</v>
      </c>
      <c r="AB10" s="16">
        <v>0.029</v>
      </c>
      <c r="AC10" s="17">
        <v>0.011</v>
      </c>
    </row>
    <row r="11" spans="2:29" ht="13.5">
      <c r="B11" s="37" t="s">
        <v>6</v>
      </c>
      <c r="C11" s="33" t="s">
        <v>7</v>
      </c>
      <c r="D11" s="36">
        <v>0.04</v>
      </c>
      <c r="E11" s="34" t="s">
        <v>56</v>
      </c>
      <c r="F11" s="33"/>
      <c r="G11" s="34" t="s">
        <v>58</v>
      </c>
      <c r="H11" s="33" t="s">
        <v>7</v>
      </c>
      <c r="I11" s="39">
        <f>Tab31</f>
        <v>0.034</v>
      </c>
      <c r="K11" s="15">
        <v>0.75</v>
      </c>
      <c r="L11" s="16">
        <v>0</v>
      </c>
      <c r="M11" s="16">
        <v>0.069</v>
      </c>
      <c r="N11" s="16">
        <v>0</v>
      </c>
      <c r="O11" s="16">
        <v>0.076</v>
      </c>
      <c r="P11" s="16">
        <v>0.085</v>
      </c>
      <c r="Q11" s="16">
        <v>0.088</v>
      </c>
      <c r="R11" s="16">
        <v>0</v>
      </c>
      <c r="S11" s="16">
        <v>0.061</v>
      </c>
      <c r="T11" s="17">
        <v>0.078</v>
      </c>
      <c r="U11" s="16">
        <v>0</v>
      </c>
      <c r="V11" s="16">
        <v>0.022</v>
      </c>
      <c r="W11" s="16">
        <v>0.056</v>
      </c>
      <c r="X11" s="16">
        <v>0.024</v>
      </c>
      <c r="Y11" s="16">
        <v>0</v>
      </c>
      <c r="Z11" s="16">
        <v>0</v>
      </c>
      <c r="AA11" s="16">
        <v>0.044</v>
      </c>
      <c r="AB11" s="16">
        <v>0.036</v>
      </c>
      <c r="AC11" s="17">
        <v>0.014</v>
      </c>
    </row>
    <row r="12" spans="2:29" ht="13.5">
      <c r="B12" s="34" t="s">
        <v>17</v>
      </c>
      <c r="C12" s="33" t="s">
        <v>7</v>
      </c>
      <c r="D12" s="40">
        <f>ROUND((la+lb)*24/180,2)</f>
        <v>3.63</v>
      </c>
      <c r="E12" s="34" t="s">
        <v>15</v>
      </c>
      <c r="F12" s="33"/>
      <c r="G12" s="34" t="s">
        <v>59</v>
      </c>
      <c r="H12" s="33" t="s">
        <v>7</v>
      </c>
      <c r="I12" s="39">
        <f>Tab32</f>
        <v>0.022</v>
      </c>
      <c r="K12" s="15">
        <v>0.8</v>
      </c>
      <c r="L12" s="16">
        <v>0</v>
      </c>
      <c r="M12" s="16">
        <v>0.065</v>
      </c>
      <c r="N12" s="16">
        <v>0</v>
      </c>
      <c r="O12" s="16">
        <v>0.071</v>
      </c>
      <c r="P12" s="16">
        <v>0.083</v>
      </c>
      <c r="Q12" s="16">
        <v>0.086</v>
      </c>
      <c r="R12" s="16">
        <v>0</v>
      </c>
      <c r="S12" s="16">
        <v>0.055</v>
      </c>
      <c r="T12" s="17">
        <v>0.075</v>
      </c>
      <c r="U12" s="16">
        <v>0</v>
      </c>
      <c r="V12" s="16">
        <v>0.027</v>
      </c>
      <c r="W12" s="16">
        <v>0.061</v>
      </c>
      <c r="X12" s="16">
        <v>0.029</v>
      </c>
      <c r="Y12" s="16">
        <v>0</v>
      </c>
      <c r="Z12" s="16">
        <v>0</v>
      </c>
      <c r="AA12" s="16">
        <v>0.051</v>
      </c>
      <c r="AB12" s="16">
        <v>0.041</v>
      </c>
      <c r="AC12" s="17">
        <v>0.017</v>
      </c>
    </row>
    <row r="13" spans="2:29" ht="13.5">
      <c r="B13" s="34" t="s">
        <v>16</v>
      </c>
      <c r="C13" s="33" t="s">
        <v>7</v>
      </c>
      <c r="D13" s="41">
        <v>6</v>
      </c>
      <c r="E13" s="34" t="s">
        <v>15</v>
      </c>
      <c r="F13" s="33"/>
      <c r="G13" s="34" t="s">
        <v>42</v>
      </c>
      <c r="H13" s="33" t="s">
        <v>7</v>
      </c>
      <c r="I13" s="39">
        <f>Tab41</f>
        <v>0.6</v>
      </c>
      <c r="K13" s="15">
        <v>0.85</v>
      </c>
      <c r="L13" s="16">
        <v>0</v>
      </c>
      <c r="M13" s="16">
        <v>0.06</v>
      </c>
      <c r="N13" s="16">
        <v>0</v>
      </c>
      <c r="O13" s="16">
        <v>0.066</v>
      </c>
      <c r="P13" s="16">
        <v>0.082</v>
      </c>
      <c r="Q13" s="16">
        <v>0.083</v>
      </c>
      <c r="R13" s="16">
        <v>0</v>
      </c>
      <c r="S13" s="16">
        <v>0.049</v>
      </c>
      <c r="T13" s="17">
        <v>0.072</v>
      </c>
      <c r="U13" s="16">
        <v>0</v>
      </c>
      <c r="V13" s="16">
        <v>0.031</v>
      </c>
      <c r="W13" s="16">
        <v>0.065</v>
      </c>
      <c r="X13" s="16">
        <v>0.034</v>
      </c>
      <c r="Y13" s="16">
        <v>0</v>
      </c>
      <c r="Z13" s="16">
        <v>0</v>
      </c>
      <c r="AA13" s="16">
        <v>0.057</v>
      </c>
      <c r="AB13" s="16">
        <v>0.046</v>
      </c>
      <c r="AC13" s="17">
        <v>0.021</v>
      </c>
    </row>
    <row r="14" spans="2:29" ht="13.5">
      <c r="B14" s="34"/>
      <c r="C14" s="33"/>
      <c r="D14" s="36"/>
      <c r="E14" s="42"/>
      <c r="F14" s="33"/>
      <c r="G14" s="34" t="s">
        <v>43</v>
      </c>
      <c r="H14" s="33" t="s">
        <v>7</v>
      </c>
      <c r="I14" s="39">
        <f>1-I13</f>
        <v>0.4</v>
      </c>
      <c r="K14" s="15">
        <v>0.9</v>
      </c>
      <c r="L14" s="16">
        <v>0</v>
      </c>
      <c r="M14" s="16">
        <v>0.055</v>
      </c>
      <c r="N14" s="16">
        <v>0</v>
      </c>
      <c r="O14" s="16">
        <v>0.06</v>
      </c>
      <c r="P14" s="16">
        <v>0.08</v>
      </c>
      <c r="Q14" s="16">
        <v>0.079</v>
      </c>
      <c r="R14" s="16">
        <v>0</v>
      </c>
      <c r="S14" s="16">
        <v>0.043</v>
      </c>
      <c r="T14" s="17">
        <v>0.068</v>
      </c>
      <c r="U14" s="16">
        <v>0</v>
      </c>
      <c r="V14" s="16">
        <v>0.037</v>
      </c>
      <c r="W14" s="16">
        <v>0.07</v>
      </c>
      <c r="X14" s="16">
        <v>0.04</v>
      </c>
      <c r="Y14" s="16">
        <v>0</v>
      </c>
      <c r="Z14" s="16">
        <v>0</v>
      </c>
      <c r="AA14" s="16">
        <v>0.062</v>
      </c>
      <c r="AB14" s="16">
        <v>0.052</v>
      </c>
      <c r="AC14" s="17">
        <v>0.025</v>
      </c>
    </row>
    <row r="15" spans="2:29" ht="13.5">
      <c r="B15" s="43"/>
      <c r="C15" s="33"/>
      <c r="D15" s="33"/>
      <c r="E15" s="34"/>
      <c r="F15" s="33"/>
      <c r="G15" s="33"/>
      <c r="H15" s="33"/>
      <c r="I15" s="33"/>
      <c r="K15" s="15">
        <v>0.95</v>
      </c>
      <c r="L15" s="16">
        <v>0</v>
      </c>
      <c r="M15" s="16">
        <v>0.05</v>
      </c>
      <c r="N15" s="16">
        <v>0</v>
      </c>
      <c r="O15" s="16">
        <v>0.055</v>
      </c>
      <c r="P15" s="16">
        <v>0.079</v>
      </c>
      <c r="Q15" s="16">
        <v>0.075</v>
      </c>
      <c r="R15" s="16">
        <v>0</v>
      </c>
      <c r="S15" s="16">
        <v>0.038</v>
      </c>
      <c r="T15" s="17">
        <v>0.065</v>
      </c>
      <c r="U15" s="16">
        <v>0</v>
      </c>
      <c r="V15" s="16">
        <v>0.041</v>
      </c>
      <c r="W15" s="16">
        <v>0.072</v>
      </c>
      <c r="X15" s="16">
        <v>0.045</v>
      </c>
      <c r="Y15" s="16">
        <v>0</v>
      </c>
      <c r="Z15" s="16">
        <v>0</v>
      </c>
      <c r="AA15" s="16">
        <v>0.067</v>
      </c>
      <c r="AB15" s="16">
        <v>0.056</v>
      </c>
      <c r="AC15" s="17">
        <v>0.029</v>
      </c>
    </row>
    <row r="16" spans="2:29" ht="14.25" thickBot="1">
      <c r="B16" s="32" t="s">
        <v>18</v>
      </c>
      <c r="C16" s="33"/>
      <c r="D16" s="33"/>
      <c r="E16" s="34"/>
      <c r="F16" s="32" t="s">
        <v>19</v>
      </c>
      <c r="G16" s="33"/>
      <c r="H16" s="33"/>
      <c r="I16" s="34"/>
      <c r="K16" s="18">
        <v>1</v>
      </c>
      <c r="L16" s="19">
        <v>0</v>
      </c>
      <c r="M16" s="19">
        <v>0.045</v>
      </c>
      <c r="N16" s="19">
        <v>0</v>
      </c>
      <c r="O16" s="19">
        <v>0.05</v>
      </c>
      <c r="P16" s="19">
        <v>0.075</v>
      </c>
      <c r="Q16" s="19">
        <v>0.071</v>
      </c>
      <c r="R16" s="19">
        <v>0</v>
      </c>
      <c r="S16" s="19">
        <v>0.033</v>
      </c>
      <c r="T16" s="20">
        <v>0.061</v>
      </c>
      <c r="U16" s="19">
        <v>0</v>
      </c>
      <c r="V16" s="19">
        <v>0.045</v>
      </c>
      <c r="W16" s="19">
        <v>0.076</v>
      </c>
      <c r="X16" s="19">
        <v>0.05</v>
      </c>
      <c r="Y16" s="19">
        <v>0</v>
      </c>
      <c r="Z16" s="19">
        <v>0</v>
      </c>
      <c r="AA16" s="19">
        <v>0.071</v>
      </c>
      <c r="AB16" s="19">
        <v>0.061</v>
      </c>
      <c r="AC16" s="20">
        <v>0.033</v>
      </c>
    </row>
    <row r="17" spans="2:29" ht="14.25" thickBot="1">
      <c r="B17" s="32"/>
      <c r="C17" s="33"/>
      <c r="D17" s="33"/>
      <c r="E17" s="34"/>
      <c r="F17" s="37"/>
      <c r="G17" s="33"/>
      <c r="H17" s="33"/>
      <c r="I17" s="34"/>
      <c r="K17" s="8" t="s">
        <v>39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2:29" ht="14.25" thickBot="1">
      <c r="B18" s="37" t="s">
        <v>10</v>
      </c>
      <c r="C18" s="33" t="s">
        <v>7</v>
      </c>
      <c r="D18" s="40">
        <f>ROUND(1.2*(dl+h/12*0.15),3)</f>
        <v>0.21</v>
      </c>
      <c r="E18" s="34" t="s">
        <v>56</v>
      </c>
      <c r="F18" s="37" t="s">
        <v>20</v>
      </c>
      <c r="G18" s="33" t="s">
        <v>7</v>
      </c>
      <c r="H18" s="40">
        <f>ROUND(can*wu*la^2*12,2)</f>
        <v>30.95</v>
      </c>
      <c r="I18" s="34" t="s">
        <v>24</v>
      </c>
      <c r="K18" s="9" t="s">
        <v>29</v>
      </c>
      <c r="L18" s="10" t="s">
        <v>30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0" t="s">
        <v>36</v>
      </c>
      <c r="S18" s="10" t="s">
        <v>37</v>
      </c>
      <c r="T18" s="11" t="s">
        <v>38</v>
      </c>
      <c r="U18" s="10" t="s">
        <v>30</v>
      </c>
      <c r="V18" s="10" t="s">
        <v>31</v>
      </c>
      <c r="W18" s="10" t="s">
        <v>32</v>
      </c>
      <c r="X18" s="10" t="s">
        <v>33</v>
      </c>
      <c r="Y18" s="10" t="s">
        <v>34</v>
      </c>
      <c r="Z18" s="10" t="s">
        <v>35</v>
      </c>
      <c r="AA18" s="10" t="s">
        <v>36</v>
      </c>
      <c r="AB18" s="10" t="s">
        <v>37</v>
      </c>
      <c r="AC18" s="11" t="s">
        <v>38</v>
      </c>
    </row>
    <row r="19" spans="2:29" ht="13.5">
      <c r="B19" s="37" t="s">
        <v>11</v>
      </c>
      <c r="C19" s="33" t="s">
        <v>7</v>
      </c>
      <c r="D19" s="40">
        <f>ROUND(1.6*ll,3)</f>
        <v>0.064</v>
      </c>
      <c r="E19" s="34" t="s">
        <v>56</v>
      </c>
      <c r="F19" s="37" t="s">
        <v>21</v>
      </c>
      <c r="G19" s="33" t="s">
        <v>7</v>
      </c>
      <c r="H19" s="40">
        <f>ROUND(cbn*wu*lb^2*12,2)</f>
        <v>24.42</v>
      </c>
      <c r="I19" s="34" t="s">
        <v>24</v>
      </c>
      <c r="K19" s="12">
        <v>0.5</v>
      </c>
      <c r="L19" s="13">
        <v>0.095</v>
      </c>
      <c r="M19" s="13">
        <v>0.037</v>
      </c>
      <c r="N19" s="13">
        <v>0.08</v>
      </c>
      <c r="O19" s="13">
        <v>0.059</v>
      </c>
      <c r="P19" s="13">
        <v>0.039</v>
      </c>
      <c r="Q19" s="13">
        <v>0.061</v>
      </c>
      <c r="R19" s="13">
        <v>0.089</v>
      </c>
      <c r="S19" s="13">
        <v>0.056</v>
      </c>
      <c r="T19" s="14">
        <v>0.023</v>
      </c>
      <c r="U19" s="13">
        <v>0.006</v>
      </c>
      <c r="V19" s="13">
        <v>0.002</v>
      </c>
      <c r="W19" s="13">
        <v>0.007</v>
      </c>
      <c r="X19" s="13">
        <v>0.004</v>
      </c>
      <c r="Y19" s="13">
        <v>0.001</v>
      </c>
      <c r="Z19" s="13">
        <v>0.003</v>
      </c>
      <c r="AA19" s="13">
        <v>0.007</v>
      </c>
      <c r="AB19" s="13">
        <v>0.004</v>
      </c>
      <c r="AC19" s="14">
        <v>0.002</v>
      </c>
    </row>
    <row r="20" spans="2:29" ht="13.5">
      <c r="B20" s="37" t="s">
        <v>12</v>
      </c>
      <c r="C20" s="33" t="s">
        <v>7</v>
      </c>
      <c r="D20" s="40">
        <f>+D18+D19</f>
        <v>0.274</v>
      </c>
      <c r="E20" s="34" t="s">
        <v>56</v>
      </c>
      <c r="F20" s="37" t="s">
        <v>22</v>
      </c>
      <c r="G20" s="33" t="s">
        <v>7</v>
      </c>
      <c r="H20" s="40">
        <f>ROUND((wdl*cad+wll*cal)*la^2*12,2)</f>
        <v>13.96</v>
      </c>
      <c r="I20" s="34" t="s">
        <v>24</v>
      </c>
      <c r="K20" s="15">
        <v>0.550000000000001</v>
      </c>
      <c r="L20" s="16">
        <v>0.088</v>
      </c>
      <c r="M20" s="16">
        <v>0.035</v>
      </c>
      <c r="N20" s="16">
        <v>0.071</v>
      </c>
      <c r="O20" s="16">
        <v>0.056</v>
      </c>
      <c r="P20" s="16">
        <v>0.038</v>
      </c>
      <c r="Q20" s="16">
        <v>0.058</v>
      </c>
      <c r="R20" s="16">
        <v>0.081</v>
      </c>
      <c r="S20" s="16">
        <v>0.052</v>
      </c>
      <c r="T20" s="17">
        <v>0.024</v>
      </c>
      <c r="U20" s="16">
        <v>0.008</v>
      </c>
      <c r="V20" s="16">
        <v>0.003</v>
      </c>
      <c r="W20" s="16">
        <v>0.009</v>
      </c>
      <c r="X20" s="16">
        <v>0.005</v>
      </c>
      <c r="Y20" s="16">
        <v>0.002</v>
      </c>
      <c r="Z20" s="16">
        <v>0.004</v>
      </c>
      <c r="AA20" s="16">
        <v>0.009</v>
      </c>
      <c r="AB20" s="16">
        <v>0.005</v>
      </c>
      <c r="AC20" s="17">
        <v>0.003</v>
      </c>
    </row>
    <row r="21" spans="2:29" ht="13.5">
      <c r="B21" s="37"/>
      <c r="C21" s="33"/>
      <c r="D21" s="33"/>
      <c r="E21" s="34"/>
      <c r="F21" s="37" t="s">
        <v>23</v>
      </c>
      <c r="G21" s="33" t="s">
        <v>7</v>
      </c>
      <c r="H21" s="40">
        <f>ROUND((wdl*cbd+wll*cbl)*lb^2*12,2)</f>
        <v>10.47</v>
      </c>
      <c r="I21" s="34" t="s">
        <v>24</v>
      </c>
      <c r="K21" s="15">
        <v>0.6</v>
      </c>
      <c r="L21" s="16">
        <v>0.081</v>
      </c>
      <c r="M21" s="16">
        <v>0.034</v>
      </c>
      <c r="N21" s="16">
        <v>0.062</v>
      </c>
      <c r="O21" s="16">
        <v>0.053</v>
      </c>
      <c r="P21" s="16">
        <v>0.037</v>
      </c>
      <c r="Q21" s="16">
        <v>0.056</v>
      </c>
      <c r="R21" s="16">
        <v>0.073</v>
      </c>
      <c r="S21" s="16">
        <v>0.048</v>
      </c>
      <c r="T21" s="17">
        <v>0.026</v>
      </c>
      <c r="U21" s="16">
        <v>0.01</v>
      </c>
      <c r="V21" s="16">
        <v>0.004</v>
      </c>
      <c r="W21" s="16">
        <v>0.011</v>
      </c>
      <c r="X21" s="16">
        <v>0.007</v>
      </c>
      <c r="Y21" s="16">
        <v>0.003</v>
      </c>
      <c r="Z21" s="16">
        <v>0.006</v>
      </c>
      <c r="AA21" s="16">
        <v>0.012</v>
      </c>
      <c r="AB21" s="16">
        <v>0.007</v>
      </c>
      <c r="AC21" s="17">
        <v>0.004</v>
      </c>
    </row>
    <row r="22" spans="2:29" ht="13.5">
      <c r="B22" s="32" t="s">
        <v>25</v>
      </c>
      <c r="C22" s="33"/>
      <c r="D22" s="33"/>
      <c r="E22" s="34"/>
      <c r="F22" s="33"/>
      <c r="G22" s="33"/>
      <c r="H22" s="33"/>
      <c r="I22" s="33"/>
      <c r="K22" s="15">
        <v>0.65</v>
      </c>
      <c r="L22" s="16">
        <v>0.074</v>
      </c>
      <c r="M22" s="16">
        <v>0.032</v>
      </c>
      <c r="N22" s="16">
        <v>0.054</v>
      </c>
      <c r="O22" s="16">
        <v>0.05</v>
      </c>
      <c r="P22" s="16">
        <v>0.036</v>
      </c>
      <c r="Q22" s="16">
        <v>0.054</v>
      </c>
      <c r="R22" s="16">
        <v>0.065</v>
      </c>
      <c r="S22" s="16">
        <v>0.044</v>
      </c>
      <c r="T22" s="17">
        <v>0.028</v>
      </c>
      <c r="U22" s="16">
        <v>0.013</v>
      </c>
      <c r="V22" s="16">
        <v>0.006</v>
      </c>
      <c r="W22" s="16">
        <v>0.014</v>
      </c>
      <c r="X22" s="16">
        <v>0.009</v>
      </c>
      <c r="Y22" s="16">
        <v>0.004</v>
      </c>
      <c r="Z22" s="16">
        <v>0.007</v>
      </c>
      <c r="AA22" s="16">
        <v>0.014</v>
      </c>
      <c r="AB22" s="16">
        <v>0.009</v>
      </c>
      <c r="AC22" s="17">
        <v>0.005</v>
      </c>
    </row>
    <row r="23" spans="2:29" ht="13.5">
      <c r="B23" s="37"/>
      <c r="C23" s="33"/>
      <c r="D23" s="33"/>
      <c r="E23" s="34"/>
      <c r="F23" s="33"/>
      <c r="G23" s="33"/>
      <c r="H23" s="33"/>
      <c r="I23" s="33"/>
      <c r="K23" s="15">
        <v>0.7</v>
      </c>
      <c r="L23" s="16">
        <v>0.068</v>
      </c>
      <c r="M23" s="16">
        <v>0.03</v>
      </c>
      <c r="N23" s="16">
        <v>0.046</v>
      </c>
      <c r="O23" s="16">
        <v>0.046</v>
      </c>
      <c r="P23" s="16">
        <v>0.035</v>
      </c>
      <c r="Q23" s="16">
        <v>0.051</v>
      </c>
      <c r="R23" s="16">
        <v>0.058</v>
      </c>
      <c r="S23" s="16">
        <v>0.04</v>
      </c>
      <c r="T23" s="17">
        <v>0.029</v>
      </c>
      <c r="U23" s="16">
        <v>0.016</v>
      </c>
      <c r="V23" s="16">
        <v>0.007</v>
      </c>
      <c r="W23" s="16">
        <v>0.016</v>
      </c>
      <c r="X23" s="16">
        <v>0.011</v>
      </c>
      <c r="Y23" s="16">
        <v>0.005</v>
      </c>
      <c r="Z23" s="16">
        <v>0.009</v>
      </c>
      <c r="AA23" s="16">
        <v>0.017</v>
      </c>
      <c r="AB23" s="16">
        <v>0.011</v>
      </c>
      <c r="AC23" s="17">
        <v>0.006</v>
      </c>
    </row>
    <row r="24" spans="2:29" ht="13.5">
      <c r="B24" s="37" t="s">
        <v>60</v>
      </c>
      <c r="C24" s="33" t="s">
        <v>7</v>
      </c>
      <c r="D24" s="33">
        <f>ROUND(h-0.75-4/16,3)</f>
        <v>5</v>
      </c>
      <c r="E24" s="34" t="s">
        <v>15</v>
      </c>
      <c r="F24" s="44" t="s">
        <v>26</v>
      </c>
      <c r="G24" s="45" t="s">
        <v>61</v>
      </c>
      <c r="H24" s="46" t="s">
        <v>50</v>
      </c>
      <c r="I24" s="47" t="s">
        <v>51</v>
      </c>
      <c r="J24" s="1"/>
      <c r="K24" s="15">
        <v>0.75</v>
      </c>
      <c r="L24" s="16">
        <v>0.061</v>
      </c>
      <c r="M24" s="16">
        <v>0.028</v>
      </c>
      <c r="N24" s="16">
        <v>0.04</v>
      </c>
      <c r="O24" s="16">
        <v>0.043</v>
      </c>
      <c r="P24" s="16">
        <v>0.033</v>
      </c>
      <c r="Q24" s="16">
        <v>0.048</v>
      </c>
      <c r="R24" s="16">
        <v>0.051</v>
      </c>
      <c r="S24" s="16">
        <v>0.036</v>
      </c>
      <c r="T24" s="17">
        <v>0.031</v>
      </c>
      <c r="U24" s="16">
        <v>0.019</v>
      </c>
      <c r="V24" s="16">
        <v>0.009</v>
      </c>
      <c r="W24" s="16">
        <v>0.018</v>
      </c>
      <c r="X24" s="16">
        <v>0.013</v>
      </c>
      <c r="Y24" s="16">
        <v>0.007</v>
      </c>
      <c r="Z24" s="16">
        <v>0.013</v>
      </c>
      <c r="AA24" s="16">
        <v>0.02</v>
      </c>
      <c r="AB24" s="16">
        <v>0.013</v>
      </c>
      <c r="AC24" s="17">
        <v>0.007</v>
      </c>
    </row>
    <row r="25" spans="2:29" ht="13.5">
      <c r="B25" s="37" t="s">
        <v>62</v>
      </c>
      <c r="C25" s="33" t="s">
        <v>7</v>
      </c>
      <c r="D25" s="33">
        <f>ROUND(h-0.75-4/8-n/16,3)</f>
        <v>4.75</v>
      </c>
      <c r="E25" s="34" t="s">
        <v>15</v>
      </c>
      <c r="F25" s="48" t="s">
        <v>20</v>
      </c>
      <c r="G25" s="49">
        <f>IF(ROUND(0.85*fc/fy*(1-((1-2*Man/(0.765*12*fc*da^2))^0.5))*12*da,3)&lt;Amin,Amin,ROUND(0.85*fc/fy*(1-((1-2*Man/(0.765*12*fc*da^2))^0.5))*12*da,3))</f>
        <v>0.177</v>
      </c>
      <c r="H25" s="33">
        <f>IF(ROUND(0.2/$G25*12,1)&gt;Sm,Sm,ROUND(0.2/$G25*12,1))</f>
        <v>12</v>
      </c>
      <c r="I25" s="50">
        <f>IF(ROUND(0.11/$G25*12,1)&gt;Sm,Sm,ROUND(0.11/$G25*12,1))</f>
        <v>7.5</v>
      </c>
      <c r="J25" s="1">
        <f>VLOOKUP(m,Table2,Cna,Ran2)</f>
        <v>0.022</v>
      </c>
      <c r="K25" s="15">
        <v>0.8</v>
      </c>
      <c r="L25" s="16">
        <v>0.056</v>
      </c>
      <c r="M25" s="16">
        <v>0.026</v>
      </c>
      <c r="N25" s="16">
        <v>0.034</v>
      </c>
      <c r="O25" s="16">
        <v>0.039</v>
      </c>
      <c r="P25" s="16">
        <v>0.032</v>
      </c>
      <c r="Q25" s="16">
        <v>0.045</v>
      </c>
      <c r="R25" s="16">
        <v>0.045</v>
      </c>
      <c r="S25" s="16">
        <v>0.032</v>
      </c>
      <c r="T25" s="17">
        <v>0.029</v>
      </c>
      <c r="U25" s="16">
        <v>0.023</v>
      </c>
      <c r="V25" s="16">
        <v>0.011</v>
      </c>
      <c r="W25" s="16">
        <v>0.02</v>
      </c>
      <c r="X25" s="16">
        <v>0.016</v>
      </c>
      <c r="Y25" s="16">
        <v>0.009</v>
      </c>
      <c r="Z25" s="16">
        <v>0.015</v>
      </c>
      <c r="AA25" s="16">
        <v>0.022</v>
      </c>
      <c r="AB25" s="16">
        <v>0.015</v>
      </c>
      <c r="AC25" s="17">
        <v>0.01</v>
      </c>
    </row>
    <row r="26" spans="2:29" ht="13.5">
      <c r="B26" s="51" t="s">
        <v>63</v>
      </c>
      <c r="C26" s="33" t="s">
        <v>7</v>
      </c>
      <c r="D26" s="33">
        <f>IF(fc&gt;4,0.85-0.05*(fc-4),0.85)</f>
        <v>0.85</v>
      </c>
      <c r="E26" s="34"/>
      <c r="F26" s="48" t="s">
        <v>21</v>
      </c>
      <c r="G26" s="49">
        <f>IF(ROUND(0.85*fc/fy*(1-((1-2*Mbn/(0.765*12*fc*db^2))^0.5))*12*db,3)&lt;Amin,Amin,ROUND(0.85*fc/fy*(1-((1-2*Mbn/(0.765*12*fc*db^2))^0.5))*12*db,3))</f>
        <v>0.146</v>
      </c>
      <c r="H26" s="33">
        <f>IF(ROUND(0.2/$G26*12,1)&gt;Sm,Sm,ROUND(0.2/$G26*12,1))</f>
        <v>12</v>
      </c>
      <c r="I26" s="52">
        <f>IF(ROUND(0.11/$G26*12,1)&gt;Sm,Sm,ROUND(0.11/$G26*12,1))</f>
        <v>9</v>
      </c>
      <c r="J26" s="1">
        <f>VLOOKUP(m,Table2,Cnb,Ran2)</f>
        <v>0.014</v>
      </c>
      <c r="K26" s="15">
        <v>0.85</v>
      </c>
      <c r="L26" s="16">
        <v>0.05</v>
      </c>
      <c r="M26" s="16">
        <v>0.024</v>
      </c>
      <c r="N26" s="16">
        <v>0.029</v>
      </c>
      <c r="O26" s="16">
        <v>0.036</v>
      </c>
      <c r="P26" s="16">
        <v>0.31</v>
      </c>
      <c r="Q26" s="16">
        <v>0.042</v>
      </c>
      <c r="R26" s="16">
        <v>0.004</v>
      </c>
      <c r="S26" s="16">
        <v>0.029</v>
      </c>
      <c r="T26" s="17">
        <v>0.028</v>
      </c>
      <c r="U26" s="16">
        <v>0.026</v>
      </c>
      <c r="V26" s="16">
        <v>0.012</v>
      </c>
      <c r="W26" s="16">
        <v>0.022</v>
      </c>
      <c r="X26" s="16">
        <v>0.019</v>
      </c>
      <c r="Y26" s="16">
        <v>0.011</v>
      </c>
      <c r="Z26" s="16">
        <v>0.017</v>
      </c>
      <c r="AA26" s="16">
        <v>0.025</v>
      </c>
      <c r="AB26" s="16">
        <v>0.017</v>
      </c>
      <c r="AC26" s="17">
        <v>0.013</v>
      </c>
    </row>
    <row r="27" spans="2:29" ht="13.5">
      <c r="B27" s="37" t="s">
        <v>64</v>
      </c>
      <c r="C27" s="33" t="s">
        <v>7</v>
      </c>
      <c r="D27" s="33">
        <f>ROUND(0.75*0.85*b*fc/fy*87/(87+fy)*12*db,3)</f>
        <v>1.322</v>
      </c>
      <c r="E27" s="34" t="s">
        <v>65</v>
      </c>
      <c r="F27" s="48" t="s">
        <v>22</v>
      </c>
      <c r="G27" s="49">
        <f>IF(ROUND(0.85*fc/fy*(1-((1-2*map/(0.765*12*fc*da^2))^0.5))*12*da,3)&lt;Amin,Amin,ROUND(0.85*fc/fy*(1-((1-2*map/(0.765*12*fc*da^2))^0.5))*12*da,3))</f>
        <v>0.144</v>
      </c>
      <c r="H27" s="33">
        <f>IF(ROUND(0.2/$G27*12,1)&gt;Sm,Sm,ROUND(0.2/$G27*12,1))</f>
        <v>12</v>
      </c>
      <c r="I27" s="52">
        <f>IF(ROUND(0.11/$G27*12,1)&gt;Sm,Sm,ROUND(0.11/$G27*12,1))</f>
        <v>9.2</v>
      </c>
      <c r="K27" s="15">
        <v>0.9</v>
      </c>
      <c r="L27" s="16">
        <v>0.045</v>
      </c>
      <c r="M27" s="16">
        <v>0.022</v>
      </c>
      <c r="N27" s="16">
        <v>0.025</v>
      </c>
      <c r="O27" s="16">
        <v>0.033</v>
      </c>
      <c r="P27" s="16">
        <v>0.029</v>
      </c>
      <c r="Q27" s="16">
        <v>0.039</v>
      </c>
      <c r="R27" s="16">
        <v>0.035</v>
      </c>
      <c r="S27" s="16">
        <v>0.025</v>
      </c>
      <c r="T27" s="17">
        <v>0.026</v>
      </c>
      <c r="U27" s="16">
        <v>0.029</v>
      </c>
      <c r="V27" s="16">
        <v>0.014</v>
      </c>
      <c r="W27" s="16">
        <v>0.024</v>
      </c>
      <c r="X27" s="16">
        <v>0.022</v>
      </c>
      <c r="Y27" s="16">
        <v>0.013</v>
      </c>
      <c r="Z27" s="16">
        <v>0.021</v>
      </c>
      <c r="AA27" s="16">
        <v>0.028</v>
      </c>
      <c r="AB27" s="16">
        <v>0.019</v>
      </c>
      <c r="AC27" s="17">
        <v>0.015</v>
      </c>
    </row>
    <row r="28" spans="2:29" ht="13.5">
      <c r="B28" s="37" t="s">
        <v>66</v>
      </c>
      <c r="C28" s="33" t="s">
        <v>7</v>
      </c>
      <c r="D28" s="33">
        <f>ROUND(IF(fy&lt;60,0.002*12*h,0.0018*60/fy*12*h),3)</f>
        <v>0.144</v>
      </c>
      <c r="E28" s="34" t="s">
        <v>65</v>
      </c>
      <c r="F28" s="48" t="s">
        <v>23</v>
      </c>
      <c r="G28" s="49">
        <f>IF(ROUND(0.85*fc/fy*(1-((1-2*mbp/(0.765*12*fc*db^2))^0.5))*12*db,3)&lt;Amin,Amin,ROUND(0.85*fc/fy*(1-((1-2*mbp/(0.765*12*fc*db^2))^0.5))*12*db,3))</f>
        <v>0.144</v>
      </c>
      <c r="H28" s="33">
        <f>IF(ROUND(0.2/$G28*12,1)&gt;Sm,Sm,ROUND(0.2/$G28*12,1))</f>
        <v>12</v>
      </c>
      <c r="I28" s="52">
        <f>IF(ROUND(0.11/$G28*12,1)&gt;Sm,Sm,ROUND(0.11/$G28*12,1))</f>
        <v>9.2</v>
      </c>
      <c r="K28" s="15">
        <v>0.95</v>
      </c>
      <c r="L28" s="16">
        <v>0.04</v>
      </c>
      <c r="M28" s="16">
        <v>0.02</v>
      </c>
      <c r="N28" s="16">
        <v>0.021</v>
      </c>
      <c r="O28" s="16">
        <v>0.03</v>
      </c>
      <c r="P28" s="16">
        <v>0.028</v>
      </c>
      <c r="Q28" s="16">
        <v>0.036</v>
      </c>
      <c r="R28" s="16">
        <v>0.031</v>
      </c>
      <c r="S28" s="16">
        <v>0.022</v>
      </c>
      <c r="T28" s="17">
        <v>0.024</v>
      </c>
      <c r="U28" s="16">
        <v>0.033</v>
      </c>
      <c r="V28" s="16">
        <v>0.016</v>
      </c>
      <c r="W28" s="16">
        <v>0.025</v>
      </c>
      <c r="X28" s="16">
        <v>0.024</v>
      </c>
      <c r="Y28" s="16">
        <v>0.015</v>
      </c>
      <c r="Z28" s="16">
        <v>0.024</v>
      </c>
      <c r="AA28" s="16">
        <v>0.031</v>
      </c>
      <c r="AB28" s="16">
        <v>0.021</v>
      </c>
      <c r="AC28" s="17">
        <v>0.017</v>
      </c>
    </row>
    <row r="29" spans="2:29" ht="14.25" thickBot="1">
      <c r="B29" s="37" t="s">
        <v>67</v>
      </c>
      <c r="C29" s="33" t="s">
        <v>7</v>
      </c>
      <c r="D29" s="33">
        <f>2*h</f>
        <v>12</v>
      </c>
      <c r="E29" s="34"/>
      <c r="F29" s="33"/>
      <c r="G29" s="33"/>
      <c r="H29" s="33"/>
      <c r="I29" s="53"/>
      <c r="K29" s="18">
        <v>1</v>
      </c>
      <c r="L29" s="19">
        <v>0.036</v>
      </c>
      <c r="M29" s="19">
        <v>0.018</v>
      </c>
      <c r="N29" s="19">
        <v>0.018</v>
      </c>
      <c r="O29" s="19">
        <v>0.027</v>
      </c>
      <c r="P29" s="19">
        <v>0.027</v>
      </c>
      <c r="Q29" s="19">
        <v>0.033</v>
      </c>
      <c r="R29" s="19">
        <v>0.027</v>
      </c>
      <c r="S29" s="19">
        <v>0.02</v>
      </c>
      <c r="T29" s="20">
        <v>0.023</v>
      </c>
      <c r="U29" s="19">
        <v>0.036</v>
      </c>
      <c r="V29" s="19">
        <v>0.018</v>
      </c>
      <c r="W29" s="19">
        <v>0.027</v>
      </c>
      <c r="X29" s="19">
        <v>0.027</v>
      </c>
      <c r="Y29" s="19">
        <v>0.018</v>
      </c>
      <c r="Z29" s="19">
        <v>0.027</v>
      </c>
      <c r="AA29" s="19">
        <v>0.033</v>
      </c>
      <c r="AB29" s="19">
        <v>0.023</v>
      </c>
      <c r="AC29" s="20">
        <v>0.02</v>
      </c>
    </row>
    <row r="30" spans="2:29" ht="14.25" thickBot="1">
      <c r="B30" s="37"/>
      <c r="C30" s="33"/>
      <c r="D30" s="33"/>
      <c r="E30" s="58"/>
      <c r="F30" s="53"/>
      <c r="G30" s="53"/>
      <c r="H30" s="53"/>
      <c r="I30" s="53"/>
      <c r="K30" s="8" t="s">
        <v>40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2:29" ht="14.25" thickBot="1">
      <c r="B31" s="37"/>
      <c r="C31" s="33"/>
      <c r="D31" s="33"/>
      <c r="E31" s="54"/>
      <c r="F31" s="59"/>
      <c r="G31" s="55"/>
      <c r="H31" s="53"/>
      <c r="I31" s="53"/>
      <c r="K31" s="9" t="s">
        <v>29</v>
      </c>
      <c r="L31" s="10" t="s">
        <v>30</v>
      </c>
      <c r="M31" s="10" t="s">
        <v>31</v>
      </c>
      <c r="N31" s="10" t="s">
        <v>32</v>
      </c>
      <c r="O31" s="10" t="s">
        <v>33</v>
      </c>
      <c r="P31" s="10" t="s">
        <v>34</v>
      </c>
      <c r="Q31" s="10" t="s">
        <v>35</v>
      </c>
      <c r="R31" s="10" t="s">
        <v>36</v>
      </c>
      <c r="S31" s="10" t="s">
        <v>37</v>
      </c>
      <c r="T31" s="11" t="s">
        <v>38</v>
      </c>
      <c r="U31" s="10" t="s">
        <v>30</v>
      </c>
      <c r="V31" s="10" t="s">
        <v>31</v>
      </c>
      <c r="W31" s="10" t="s">
        <v>32</v>
      </c>
      <c r="X31" s="10" t="s">
        <v>33</v>
      </c>
      <c r="Y31" s="10" t="s">
        <v>34</v>
      </c>
      <c r="Z31" s="10" t="s">
        <v>35</v>
      </c>
      <c r="AA31" s="10" t="s">
        <v>36</v>
      </c>
      <c r="AB31" s="10" t="s">
        <v>37</v>
      </c>
      <c r="AC31" s="11" t="s">
        <v>38</v>
      </c>
    </row>
    <row r="32" spans="2:29" ht="13.5">
      <c r="B32" s="37"/>
      <c r="C32" s="33"/>
      <c r="D32" s="33"/>
      <c r="E32" s="60"/>
      <c r="F32" s="53"/>
      <c r="G32" s="61"/>
      <c r="H32" s="53"/>
      <c r="I32" s="33"/>
      <c r="K32" s="12">
        <v>0.5</v>
      </c>
      <c r="L32" s="13">
        <v>0.095</v>
      </c>
      <c r="M32" s="13">
        <v>0.066</v>
      </c>
      <c r="N32" s="13">
        <v>0.088</v>
      </c>
      <c r="O32" s="13">
        <v>0.077</v>
      </c>
      <c r="P32" s="13">
        <v>0.067</v>
      </c>
      <c r="Q32" s="13">
        <v>0.078</v>
      </c>
      <c r="R32" s="13">
        <v>0.092</v>
      </c>
      <c r="S32" s="13">
        <v>0.076</v>
      </c>
      <c r="T32" s="14">
        <v>0.067</v>
      </c>
      <c r="U32" s="13">
        <v>0.006</v>
      </c>
      <c r="V32" s="13">
        <v>0.004</v>
      </c>
      <c r="W32" s="13">
        <v>0.007</v>
      </c>
      <c r="X32" s="13">
        <v>0.005</v>
      </c>
      <c r="Y32" s="13">
        <v>0.004</v>
      </c>
      <c r="Z32" s="13">
        <v>0.005</v>
      </c>
      <c r="AA32" s="13">
        <v>0.007</v>
      </c>
      <c r="AB32" s="13">
        <v>0.005</v>
      </c>
      <c r="AC32" s="14">
        <v>0.004</v>
      </c>
    </row>
    <row r="33" spans="2:29" ht="14.25" thickBot="1">
      <c r="B33" s="32" t="s">
        <v>46</v>
      </c>
      <c r="C33" s="33"/>
      <c r="D33" s="33"/>
      <c r="E33" s="56"/>
      <c r="F33" s="62"/>
      <c r="G33" s="57"/>
      <c r="H33" s="53"/>
      <c r="I33" s="33"/>
      <c r="K33" s="15">
        <v>0.550000000000001</v>
      </c>
      <c r="L33" s="16">
        <v>0.088</v>
      </c>
      <c r="M33" s="16">
        <v>0.062</v>
      </c>
      <c r="N33" s="16">
        <v>0.08</v>
      </c>
      <c r="O33" s="16">
        <v>0.072</v>
      </c>
      <c r="P33" s="16">
        <v>0.063</v>
      </c>
      <c r="Q33" s="16">
        <v>0.073</v>
      </c>
      <c r="R33" s="16">
        <v>0.085</v>
      </c>
      <c r="S33" s="16">
        <v>0.07</v>
      </c>
      <c r="T33" s="17">
        <v>0.063</v>
      </c>
      <c r="U33" s="16">
        <v>0.008</v>
      </c>
      <c r="V33" s="16">
        <v>0.006</v>
      </c>
      <c r="W33" s="16">
        <v>0.009</v>
      </c>
      <c r="X33" s="16">
        <v>0.007</v>
      </c>
      <c r="Y33" s="16">
        <v>0.005</v>
      </c>
      <c r="Z33" s="16">
        <v>0.006</v>
      </c>
      <c r="AA33" s="16">
        <v>0.009</v>
      </c>
      <c r="AB33" s="16">
        <v>0.007</v>
      </c>
      <c r="AC33" s="17">
        <v>0.006</v>
      </c>
    </row>
    <row r="34" spans="2:29" ht="13.5">
      <c r="B34" s="37"/>
      <c r="C34" s="33"/>
      <c r="D34" s="33"/>
      <c r="E34" s="34"/>
      <c r="F34" s="33"/>
      <c r="G34" s="33"/>
      <c r="H34" s="33"/>
      <c r="I34" s="33"/>
      <c r="K34" s="15">
        <v>0.6</v>
      </c>
      <c r="L34" s="16">
        <v>0.081</v>
      </c>
      <c r="M34" s="16">
        <v>0.058</v>
      </c>
      <c r="N34" s="16">
        <v>0.071</v>
      </c>
      <c r="O34" s="16">
        <v>0.067</v>
      </c>
      <c r="P34" s="16">
        <v>0.059</v>
      </c>
      <c r="Q34" s="16">
        <v>0.068</v>
      </c>
      <c r="R34" s="16">
        <v>0.077</v>
      </c>
      <c r="S34" s="16">
        <v>0.065</v>
      </c>
      <c r="T34" s="17">
        <v>0.059</v>
      </c>
      <c r="U34" s="16">
        <v>0.01</v>
      </c>
      <c r="V34" s="16">
        <v>0.007</v>
      </c>
      <c r="W34" s="16">
        <v>0.011</v>
      </c>
      <c r="X34" s="16">
        <v>0.009</v>
      </c>
      <c r="Y34" s="16">
        <v>0.007</v>
      </c>
      <c r="Z34" s="16">
        <v>0.008</v>
      </c>
      <c r="AA34" s="16">
        <v>0.011</v>
      </c>
      <c r="AB34" s="16">
        <v>0.009</v>
      </c>
      <c r="AC34" s="17">
        <v>0.007</v>
      </c>
    </row>
    <row r="35" spans="2:29" ht="13.5">
      <c r="B35" s="37" t="s">
        <v>48</v>
      </c>
      <c r="C35" s="33"/>
      <c r="D35" s="33"/>
      <c r="E35" s="34"/>
      <c r="F35" s="33">
        <f>ROUND(wa*wu*la/2,3)</f>
        <v>1.075</v>
      </c>
      <c r="G35" s="33" t="s">
        <v>49</v>
      </c>
      <c r="H35" s="33"/>
      <c r="I35" s="33"/>
      <c r="J35" s="1">
        <f>VLOOKUP(m,Table3,Cna,Range3)</f>
        <v>0.034</v>
      </c>
      <c r="K35" s="15">
        <v>0.65</v>
      </c>
      <c r="L35" s="16">
        <v>0.074</v>
      </c>
      <c r="M35" s="16">
        <v>0.053</v>
      </c>
      <c r="N35" s="16">
        <v>0.064</v>
      </c>
      <c r="O35" s="16">
        <v>0.062</v>
      </c>
      <c r="P35" s="16">
        <v>0.055</v>
      </c>
      <c r="Q35" s="16">
        <v>0.064</v>
      </c>
      <c r="R35" s="16">
        <v>0.07</v>
      </c>
      <c r="S35" s="16">
        <v>0.059</v>
      </c>
      <c r="T35" s="17">
        <v>0.054</v>
      </c>
      <c r="U35" s="16">
        <v>0.013</v>
      </c>
      <c r="V35" s="16">
        <v>0.01</v>
      </c>
      <c r="W35" s="16">
        <v>0.014</v>
      </c>
      <c r="X35" s="16">
        <v>0.011</v>
      </c>
      <c r="Y35" s="16">
        <v>0.009</v>
      </c>
      <c r="Z35" s="16">
        <v>0.01</v>
      </c>
      <c r="AA35" s="16">
        <v>0.014</v>
      </c>
      <c r="AB35" s="16">
        <v>0.011</v>
      </c>
      <c r="AC35" s="17">
        <v>0.009</v>
      </c>
    </row>
    <row r="36" spans="2:29" ht="13.5">
      <c r="B36" s="37" t="s">
        <v>47</v>
      </c>
      <c r="C36" s="33"/>
      <c r="D36" s="33"/>
      <c r="E36" s="34"/>
      <c r="F36" s="33">
        <f>ROUND(wb*wu*lb/2,3)</f>
        <v>0.776</v>
      </c>
      <c r="G36" s="33" t="s">
        <v>49</v>
      </c>
      <c r="H36" s="33"/>
      <c r="I36" s="33"/>
      <c r="J36" s="1">
        <f>VLOOKUP(m,Table3,Cnb,Range3)</f>
        <v>0.022</v>
      </c>
      <c r="K36" s="15">
        <v>0.7</v>
      </c>
      <c r="L36" s="16">
        <v>0.068</v>
      </c>
      <c r="M36" s="16">
        <v>0.049</v>
      </c>
      <c r="N36" s="16">
        <v>0.057</v>
      </c>
      <c r="O36" s="16">
        <v>0.057</v>
      </c>
      <c r="P36" s="16">
        <v>0.051</v>
      </c>
      <c r="Q36" s="16">
        <v>0.06</v>
      </c>
      <c r="R36" s="16">
        <v>0.063</v>
      </c>
      <c r="S36" s="16">
        <v>0.054</v>
      </c>
      <c r="T36" s="17">
        <v>0.05</v>
      </c>
      <c r="U36" s="16">
        <v>0.016</v>
      </c>
      <c r="V36" s="16">
        <v>0.012</v>
      </c>
      <c r="W36" s="16">
        <v>0.016</v>
      </c>
      <c r="X36" s="16">
        <v>0.014</v>
      </c>
      <c r="Y36" s="16">
        <v>0.011</v>
      </c>
      <c r="Z36" s="16">
        <v>0.013</v>
      </c>
      <c r="AA36" s="16">
        <v>0.017</v>
      </c>
      <c r="AB36" s="16">
        <v>0.014</v>
      </c>
      <c r="AC36" s="17">
        <v>0.011</v>
      </c>
    </row>
    <row r="37" spans="11:29" ht="13.5">
      <c r="K37" s="15">
        <v>0.75</v>
      </c>
      <c r="L37" s="16">
        <v>0.061</v>
      </c>
      <c r="M37" s="16">
        <v>0.045</v>
      </c>
      <c r="N37" s="16">
        <v>0.051</v>
      </c>
      <c r="O37" s="16">
        <v>0.052</v>
      </c>
      <c r="P37" s="16">
        <v>0.047</v>
      </c>
      <c r="Q37" s="16">
        <v>0.055</v>
      </c>
      <c r="R37" s="16">
        <v>0.056</v>
      </c>
      <c r="S37" s="16">
        <v>0.049</v>
      </c>
      <c r="T37" s="17">
        <v>0.046</v>
      </c>
      <c r="U37" s="16">
        <v>0.019</v>
      </c>
      <c r="V37" s="16">
        <v>0.014</v>
      </c>
      <c r="W37" s="16">
        <v>0.019</v>
      </c>
      <c r="X37" s="16">
        <v>0.016</v>
      </c>
      <c r="Y37" s="16">
        <v>0.013</v>
      </c>
      <c r="Z37" s="16">
        <v>0.016</v>
      </c>
      <c r="AA37" s="16">
        <v>0.02</v>
      </c>
      <c r="AB37" s="16">
        <v>0.016</v>
      </c>
      <c r="AC37" s="17">
        <v>0.013</v>
      </c>
    </row>
    <row r="38" spans="11:29" ht="13.5">
      <c r="K38" s="15">
        <v>0.8</v>
      </c>
      <c r="L38" s="16">
        <v>0.056</v>
      </c>
      <c r="M38" s="16">
        <v>0.041</v>
      </c>
      <c r="N38" s="16">
        <v>0.045</v>
      </c>
      <c r="O38" s="16">
        <v>0.048</v>
      </c>
      <c r="P38" s="16">
        <v>0.044</v>
      </c>
      <c r="Q38" s="16">
        <v>0.051</v>
      </c>
      <c r="R38" s="16">
        <v>0.051</v>
      </c>
      <c r="S38" s="16">
        <v>0.044</v>
      </c>
      <c r="T38" s="17">
        <v>0.042</v>
      </c>
      <c r="U38" s="16">
        <v>0.023</v>
      </c>
      <c r="V38" s="16">
        <v>0.017</v>
      </c>
      <c r="W38" s="16">
        <v>0.022</v>
      </c>
      <c r="X38" s="16">
        <v>0.02</v>
      </c>
      <c r="Y38" s="16">
        <v>0.016</v>
      </c>
      <c r="Z38" s="16">
        <v>0.019</v>
      </c>
      <c r="AA38" s="16">
        <v>0.023</v>
      </c>
      <c r="AB38" s="16">
        <v>0.019</v>
      </c>
      <c r="AC38" s="17">
        <v>0.017</v>
      </c>
    </row>
    <row r="39" spans="11:29" ht="13.5">
      <c r="K39" s="15">
        <v>0.85</v>
      </c>
      <c r="L39" s="16">
        <v>0.05</v>
      </c>
      <c r="M39" s="16">
        <v>0.037</v>
      </c>
      <c r="N39" s="16">
        <v>0.04</v>
      </c>
      <c r="O39" s="16">
        <v>0.043</v>
      </c>
      <c r="P39" s="16">
        <v>0.041</v>
      </c>
      <c r="Q39" s="16">
        <v>0.046</v>
      </c>
      <c r="R39" s="16">
        <v>0.045</v>
      </c>
      <c r="S39" s="16">
        <v>0.04</v>
      </c>
      <c r="T39" s="17">
        <v>0.039</v>
      </c>
      <c r="U39" s="16">
        <v>0.026</v>
      </c>
      <c r="V39" s="16">
        <v>0.019</v>
      </c>
      <c r="W39" s="16">
        <v>0.024</v>
      </c>
      <c r="X39" s="16">
        <v>0.023</v>
      </c>
      <c r="Y39" s="16">
        <v>0.019</v>
      </c>
      <c r="Z39" s="16">
        <v>0.022</v>
      </c>
      <c r="AA39" s="16">
        <v>0.026</v>
      </c>
      <c r="AB39" s="16">
        <v>0.0223</v>
      </c>
      <c r="AC39" s="17">
        <v>0.02</v>
      </c>
    </row>
    <row r="40" spans="11:29" ht="13.5">
      <c r="K40" s="15">
        <v>0.9</v>
      </c>
      <c r="L40" s="16">
        <v>0.045</v>
      </c>
      <c r="M40" s="16">
        <v>0.034</v>
      </c>
      <c r="N40" s="16">
        <v>0.035</v>
      </c>
      <c r="O40" s="16">
        <v>0.039</v>
      </c>
      <c r="P40" s="16">
        <v>0.037</v>
      </c>
      <c r="Q40" s="16">
        <v>0.042</v>
      </c>
      <c r="R40" s="16">
        <v>0.04</v>
      </c>
      <c r="S40" s="16">
        <v>0.035</v>
      </c>
      <c r="T40" s="17">
        <v>0.036</v>
      </c>
      <c r="U40" s="16">
        <v>0.029</v>
      </c>
      <c r="V40" s="16">
        <v>0.022</v>
      </c>
      <c r="W40" s="16">
        <v>0.027</v>
      </c>
      <c r="X40" s="16">
        <v>0.026</v>
      </c>
      <c r="Y40" s="16">
        <v>0.021</v>
      </c>
      <c r="Z40" s="16">
        <v>0.025</v>
      </c>
      <c r="AA40" s="16">
        <v>0.029</v>
      </c>
      <c r="AB40" s="16">
        <v>0.024</v>
      </c>
      <c r="AC40" s="17">
        <v>0.022</v>
      </c>
    </row>
    <row r="41" spans="11:29" ht="13.5">
      <c r="K41" s="15">
        <v>0.95</v>
      </c>
      <c r="L41" s="16">
        <v>0.04</v>
      </c>
      <c r="M41" s="16">
        <v>0.03</v>
      </c>
      <c r="N41" s="16">
        <v>0.031</v>
      </c>
      <c r="O41" s="16">
        <v>0.035</v>
      </c>
      <c r="P41" s="16">
        <v>0.034</v>
      </c>
      <c r="Q41" s="16">
        <v>0.038</v>
      </c>
      <c r="R41" s="16">
        <v>0.036</v>
      </c>
      <c r="S41" s="16">
        <v>0.031</v>
      </c>
      <c r="T41" s="17">
        <v>0.032</v>
      </c>
      <c r="U41" s="16">
        <v>0.033</v>
      </c>
      <c r="V41" s="16">
        <v>0.025</v>
      </c>
      <c r="W41" s="16">
        <v>0.029</v>
      </c>
      <c r="X41" s="16">
        <v>0.029</v>
      </c>
      <c r="Y41" s="16">
        <v>0.024</v>
      </c>
      <c r="Z41" s="16">
        <v>0.029</v>
      </c>
      <c r="AA41" s="16">
        <v>0.032</v>
      </c>
      <c r="AB41" s="16">
        <v>0.027</v>
      </c>
      <c r="AC41" s="17">
        <v>0.025</v>
      </c>
    </row>
    <row r="42" spans="11:29" ht="14.25" thickBot="1">
      <c r="K42" s="18">
        <v>1</v>
      </c>
      <c r="L42" s="19">
        <v>0.036</v>
      </c>
      <c r="M42" s="19">
        <v>0.027</v>
      </c>
      <c r="N42" s="19">
        <v>0.027</v>
      </c>
      <c r="O42" s="19">
        <v>0.032</v>
      </c>
      <c r="P42" s="19">
        <v>0.032</v>
      </c>
      <c r="Q42" s="19">
        <v>0.035</v>
      </c>
      <c r="R42" s="19">
        <v>0.032</v>
      </c>
      <c r="S42" s="19">
        <v>0.028</v>
      </c>
      <c r="T42" s="20">
        <v>0.03</v>
      </c>
      <c r="U42" s="19">
        <v>0.036</v>
      </c>
      <c r="V42" s="19">
        <v>0.027</v>
      </c>
      <c r="W42" s="19">
        <v>0.032</v>
      </c>
      <c r="X42" s="19">
        <v>0.032</v>
      </c>
      <c r="Y42" s="19">
        <v>0.027</v>
      </c>
      <c r="Z42" s="19">
        <v>0.032</v>
      </c>
      <c r="AA42" s="19">
        <v>0.035</v>
      </c>
      <c r="AB42" s="19">
        <v>0.03</v>
      </c>
      <c r="AC42" s="20">
        <v>0.028</v>
      </c>
    </row>
    <row r="43" spans="11:29" ht="14.25" thickBot="1">
      <c r="K43" s="8" t="s">
        <v>41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1:29" ht="14.25" thickBot="1">
      <c r="K44" s="9" t="s">
        <v>29</v>
      </c>
      <c r="L44" s="10" t="s">
        <v>30</v>
      </c>
      <c r="M44" s="10" t="s">
        <v>31</v>
      </c>
      <c r="N44" s="10" t="s">
        <v>32</v>
      </c>
      <c r="O44" s="10" t="s">
        <v>33</v>
      </c>
      <c r="P44" s="10" t="s">
        <v>34</v>
      </c>
      <c r="Q44" s="10" t="s">
        <v>35</v>
      </c>
      <c r="R44" s="10" t="s">
        <v>36</v>
      </c>
      <c r="S44" s="10" t="s">
        <v>37</v>
      </c>
      <c r="T44" s="11" t="s">
        <v>38</v>
      </c>
      <c r="U44" s="8"/>
      <c r="V44" s="8"/>
      <c r="W44" s="8"/>
      <c r="X44" s="8"/>
      <c r="Y44" s="8"/>
      <c r="Z44" s="8"/>
      <c r="AA44" s="8"/>
      <c r="AB44" s="8"/>
      <c r="AC44" s="8"/>
    </row>
    <row r="45" spans="11:29" ht="13.5">
      <c r="K45" s="12">
        <v>0.5</v>
      </c>
      <c r="L45" s="22">
        <v>0.94</v>
      </c>
      <c r="M45" s="22">
        <v>0.94</v>
      </c>
      <c r="N45" s="23">
        <v>0.76</v>
      </c>
      <c r="O45" s="22">
        <v>0.94</v>
      </c>
      <c r="P45" s="23">
        <v>0.99</v>
      </c>
      <c r="Q45" s="23">
        <v>0.97</v>
      </c>
      <c r="R45" s="23">
        <v>0.86</v>
      </c>
      <c r="S45" s="23">
        <v>0.89</v>
      </c>
      <c r="T45" s="24">
        <v>0.97</v>
      </c>
      <c r="U45" s="8"/>
      <c r="V45" s="8"/>
      <c r="W45" s="8"/>
      <c r="X45" s="8"/>
      <c r="Y45" s="8"/>
      <c r="Z45" s="8"/>
      <c r="AA45" s="8"/>
      <c r="AB45" s="8"/>
      <c r="AC45" s="8"/>
    </row>
    <row r="46" spans="11:29" ht="13.5">
      <c r="K46" s="15">
        <v>0.550000000000001</v>
      </c>
      <c r="L46" s="25">
        <v>0.92</v>
      </c>
      <c r="M46" s="25">
        <v>0.92</v>
      </c>
      <c r="N46" s="26">
        <v>0.69</v>
      </c>
      <c r="O46" s="25">
        <v>0.92</v>
      </c>
      <c r="P46" s="26">
        <v>0.98</v>
      </c>
      <c r="Q46" s="26">
        <v>0.96</v>
      </c>
      <c r="R46" s="26">
        <v>0.81</v>
      </c>
      <c r="S46" s="26">
        <v>0.85</v>
      </c>
      <c r="T46" s="27">
        <v>0.95</v>
      </c>
      <c r="U46" s="8"/>
      <c r="V46" s="8"/>
      <c r="W46" s="8"/>
      <c r="X46" s="8"/>
      <c r="Y46" s="8"/>
      <c r="Z46" s="8"/>
      <c r="AA46" s="8"/>
      <c r="AB46" s="8"/>
      <c r="AC46" s="8"/>
    </row>
    <row r="47" spans="11:29" ht="13.5">
      <c r="K47" s="15">
        <v>0.6</v>
      </c>
      <c r="L47" s="25">
        <v>0.89</v>
      </c>
      <c r="M47" s="25">
        <v>0.89</v>
      </c>
      <c r="N47" s="26">
        <v>0.61</v>
      </c>
      <c r="O47" s="25">
        <v>0.89</v>
      </c>
      <c r="P47" s="26">
        <v>0.97</v>
      </c>
      <c r="Q47" s="26">
        <v>0.95</v>
      </c>
      <c r="R47" s="26">
        <v>0.76</v>
      </c>
      <c r="S47" s="26">
        <v>0.8</v>
      </c>
      <c r="T47" s="27">
        <v>0.94</v>
      </c>
      <c r="U47" s="8"/>
      <c r="V47" s="8"/>
      <c r="W47" s="8"/>
      <c r="X47" s="8"/>
      <c r="Y47" s="8"/>
      <c r="Z47" s="8"/>
      <c r="AA47" s="8"/>
      <c r="AB47" s="8"/>
      <c r="AC47" s="8"/>
    </row>
    <row r="48" spans="10:29" ht="13.5">
      <c r="J48" s="1">
        <f>VLOOKUP(m,Table4,Cna,Range4)</f>
        <v>0.6</v>
      </c>
      <c r="K48" s="15">
        <v>0.65</v>
      </c>
      <c r="L48" s="25">
        <v>0.85</v>
      </c>
      <c r="M48" s="25">
        <v>0.85</v>
      </c>
      <c r="N48" s="26">
        <v>0.53</v>
      </c>
      <c r="O48" s="25">
        <v>0.85</v>
      </c>
      <c r="P48" s="26">
        <v>0.96</v>
      </c>
      <c r="Q48" s="26">
        <v>0.93</v>
      </c>
      <c r="R48" s="26">
        <v>0.69</v>
      </c>
      <c r="S48" s="26">
        <v>0.74</v>
      </c>
      <c r="T48" s="27">
        <v>0.92</v>
      </c>
      <c r="U48" s="8"/>
      <c r="V48" s="8"/>
      <c r="W48" s="8"/>
      <c r="X48" s="8"/>
      <c r="Y48" s="8"/>
      <c r="Z48" s="8"/>
      <c r="AA48" s="8"/>
      <c r="AB48" s="8"/>
      <c r="AC48" s="8"/>
    </row>
    <row r="49" spans="10:29" ht="13.5">
      <c r="J49" s="1">
        <f>1-J48</f>
        <v>0.4</v>
      </c>
      <c r="K49" s="15">
        <v>0.7</v>
      </c>
      <c r="L49" s="25">
        <v>0.81</v>
      </c>
      <c r="M49" s="25">
        <v>0.81</v>
      </c>
      <c r="N49" s="26">
        <v>0.45</v>
      </c>
      <c r="O49" s="25">
        <v>0.81</v>
      </c>
      <c r="P49" s="26">
        <v>0.95</v>
      </c>
      <c r="Q49" s="26">
        <v>0.91</v>
      </c>
      <c r="R49" s="26">
        <v>0.62</v>
      </c>
      <c r="S49" s="26">
        <v>0.68</v>
      </c>
      <c r="T49" s="27">
        <v>0.89</v>
      </c>
      <c r="U49" s="8"/>
      <c r="V49" s="8"/>
      <c r="W49" s="8"/>
      <c r="X49" s="8"/>
      <c r="Y49" s="8"/>
      <c r="Z49" s="8"/>
      <c r="AA49" s="8"/>
      <c r="AB49" s="8"/>
      <c r="AC49" s="8"/>
    </row>
    <row r="50" spans="11:29" ht="13.5">
      <c r="K50" s="15">
        <v>0.75</v>
      </c>
      <c r="L50" s="25">
        <v>0.76</v>
      </c>
      <c r="M50" s="25">
        <v>0.76</v>
      </c>
      <c r="N50" s="26">
        <v>0.39</v>
      </c>
      <c r="O50" s="25">
        <v>0.76</v>
      </c>
      <c r="P50" s="26">
        <v>0.94</v>
      </c>
      <c r="Q50" s="26">
        <v>0.88</v>
      </c>
      <c r="R50" s="26">
        <v>0.56</v>
      </c>
      <c r="S50" s="26">
        <v>0.61</v>
      </c>
      <c r="T50" s="27">
        <v>0.86</v>
      </c>
      <c r="U50" s="8"/>
      <c r="V50" s="8"/>
      <c r="W50" s="8"/>
      <c r="X50" s="8"/>
      <c r="Y50" s="8"/>
      <c r="Z50" s="8"/>
      <c r="AA50" s="8"/>
      <c r="AB50" s="8"/>
      <c r="AC50" s="8"/>
    </row>
    <row r="51" spans="11:29" ht="13.5">
      <c r="K51" s="15">
        <v>0.8</v>
      </c>
      <c r="L51" s="25">
        <v>0.71</v>
      </c>
      <c r="M51" s="25">
        <v>0.71</v>
      </c>
      <c r="N51" s="26">
        <v>0.33</v>
      </c>
      <c r="O51" s="25">
        <v>0.71</v>
      </c>
      <c r="P51" s="26">
        <v>0.92</v>
      </c>
      <c r="Q51" s="26">
        <v>0.86</v>
      </c>
      <c r="R51" s="26">
        <v>0.49</v>
      </c>
      <c r="S51" s="26">
        <v>0.55</v>
      </c>
      <c r="T51" s="27">
        <v>0.83</v>
      </c>
      <c r="U51" s="8"/>
      <c r="V51" s="8"/>
      <c r="W51" s="8"/>
      <c r="X51" s="8"/>
      <c r="Y51" s="8"/>
      <c r="Z51" s="8"/>
      <c r="AA51" s="8"/>
      <c r="AB51" s="8"/>
      <c r="AC51" s="8"/>
    </row>
    <row r="52" spans="11:29" ht="13.5">
      <c r="K52" s="15">
        <v>0.85</v>
      </c>
      <c r="L52" s="25">
        <v>0.66</v>
      </c>
      <c r="M52" s="25">
        <v>0.66</v>
      </c>
      <c r="N52" s="26">
        <v>0.28</v>
      </c>
      <c r="O52" s="25">
        <v>0.66</v>
      </c>
      <c r="P52" s="26">
        <v>0.9</v>
      </c>
      <c r="Q52" s="26">
        <v>0.83</v>
      </c>
      <c r="R52" s="26">
        <v>0.43</v>
      </c>
      <c r="S52" s="26">
        <v>0.49</v>
      </c>
      <c r="T52" s="27">
        <v>0.79</v>
      </c>
      <c r="U52" s="8"/>
      <c r="V52" s="8"/>
      <c r="W52" s="8"/>
      <c r="X52" s="8"/>
      <c r="Y52" s="8"/>
      <c r="Z52" s="8"/>
      <c r="AA52" s="8"/>
      <c r="AB52" s="8"/>
      <c r="AC52" s="8"/>
    </row>
    <row r="53" spans="11:29" ht="13.5">
      <c r="K53" s="15">
        <v>0.9</v>
      </c>
      <c r="L53" s="25">
        <v>0.6</v>
      </c>
      <c r="M53" s="25">
        <v>0.6</v>
      </c>
      <c r="N53" s="26">
        <v>0.23</v>
      </c>
      <c r="O53" s="25">
        <v>0.6</v>
      </c>
      <c r="P53" s="26">
        <v>0.88</v>
      </c>
      <c r="Q53" s="26">
        <v>0.79</v>
      </c>
      <c r="R53" s="26">
        <v>0.38</v>
      </c>
      <c r="S53" s="26">
        <v>0.43</v>
      </c>
      <c r="T53" s="27">
        <v>0.75</v>
      </c>
      <c r="U53" s="8"/>
      <c r="V53" s="8"/>
      <c r="W53" s="8"/>
      <c r="X53" s="8"/>
      <c r="Y53" s="8"/>
      <c r="Z53" s="8"/>
      <c r="AA53" s="8"/>
      <c r="AB53" s="8"/>
      <c r="AC53" s="8"/>
    </row>
    <row r="54" spans="11:29" ht="13.5">
      <c r="K54" s="15">
        <v>0.95</v>
      </c>
      <c r="L54" s="25">
        <v>0.55</v>
      </c>
      <c r="M54" s="25">
        <v>0.55</v>
      </c>
      <c r="N54" s="26">
        <v>0.2</v>
      </c>
      <c r="O54" s="25">
        <v>0.55</v>
      </c>
      <c r="P54" s="26">
        <v>0.86</v>
      </c>
      <c r="Q54" s="26">
        <v>0.75</v>
      </c>
      <c r="R54" s="26">
        <v>0.33</v>
      </c>
      <c r="S54" s="26">
        <v>0.38</v>
      </c>
      <c r="T54" s="27">
        <v>0.71</v>
      </c>
      <c r="U54" s="8"/>
      <c r="V54" s="8"/>
      <c r="W54" s="8"/>
      <c r="X54" s="8"/>
      <c r="Y54" s="8"/>
      <c r="Z54" s="8"/>
      <c r="AA54" s="8"/>
      <c r="AB54" s="8"/>
      <c r="AC54" s="8"/>
    </row>
    <row r="55" spans="11:29" ht="14.25" thickBot="1">
      <c r="K55" s="18">
        <v>1</v>
      </c>
      <c r="L55" s="28">
        <v>0.5</v>
      </c>
      <c r="M55" s="28">
        <v>0.5</v>
      </c>
      <c r="N55" s="29">
        <v>0.17</v>
      </c>
      <c r="O55" s="28">
        <v>0.5</v>
      </c>
      <c r="P55" s="29">
        <v>0.83</v>
      </c>
      <c r="Q55" s="29">
        <v>0.71</v>
      </c>
      <c r="R55" s="29">
        <v>0.29</v>
      </c>
      <c r="S55" s="29">
        <v>0.33</v>
      </c>
      <c r="T55" s="30">
        <v>0.67</v>
      </c>
      <c r="U55" s="8"/>
      <c r="V55" s="8"/>
      <c r="W55" s="8"/>
      <c r="X55" s="8"/>
      <c r="Y55" s="8"/>
      <c r="Z55" s="8"/>
      <c r="AA55" s="8"/>
      <c r="AB55" s="8"/>
      <c r="AC55" s="8"/>
    </row>
  </sheetData>
  <sheetProtection/>
  <conditionalFormatting sqref="E31:G31">
    <cfRule type="cellIs" priority="1" dxfId="1" operator="equal" stopIfTrue="1">
      <formula>"d"</formula>
    </cfRule>
  </conditionalFormatting>
  <printOptions horizontalCentered="1"/>
  <pageMargins left="0.75" right="0.75" top="1" bottom="1" header="0.5" footer="0.5"/>
  <pageSetup horizontalDpi="2400" verticalDpi="24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5.625" style="0" bestFit="1" customWidth="1"/>
    <col min="2" max="2" width="27.375" style="0" bestFit="1" customWidth="1"/>
    <col min="3" max="3" width="11.875" style="0" bestFit="1" customWidth="1"/>
    <col min="6" max="6" width="12.375" style="0" customWidth="1"/>
    <col min="8" max="8" width="20.125" style="0" bestFit="1" customWidth="1"/>
    <col min="9" max="9" width="6.875" style="0" customWidth="1"/>
    <col min="11" max="11" width="11.875" style="0" bestFit="1" customWidth="1"/>
    <col min="12" max="12" width="9.00390625" style="0" customWidth="1"/>
    <col min="13" max="13" width="11.875" style="0" bestFit="1" customWidth="1"/>
    <col min="14" max="14" width="10.50390625" style="0" customWidth="1"/>
    <col min="16" max="16" width="11.875" style="0" bestFit="1" customWidth="1"/>
    <col min="18" max="19" width="11.875" style="0" bestFit="1" customWidth="1"/>
  </cols>
  <sheetData>
    <row r="1" spans="1:4" ht="27">
      <c r="A1" s="241" t="s">
        <v>384</v>
      </c>
      <c r="B1" s="241"/>
      <c r="C1" s="241"/>
      <c r="D1" s="241"/>
    </row>
    <row r="2" spans="1:10" ht="16.5">
      <c r="A2" s="201" t="s">
        <v>195</v>
      </c>
      <c r="G2" s="240" t="s">
        <v>389</v>
      </c>
      <c r="H2" s="240"/>
      <c r="I2" s="240"/>
      <c r="J2" s="240"/>
    </row>
    <row r="3" spans="1:10" ht="16.5">
      <c r="A3" s="103" t="s">
        <v>407</v>
      </c>
      <c r="B3" t="s">
        <v>70</v>
      </c>
      <c r="C3" s="202">
        <v>3000</v>
      </c>
      <c r="D3" t="s">
        <v>91</v>
      </c>
      <c r="G3" s="201" t="s">
        <v>30</v>
      </c>
      <c r="H3" s="103" t="s">
        <v>385</v>
      </c>
      <c r="I3" s="103" t="s">
        <v>390</v>
      </c>
      <c r="J3" s="100">
        <f>(0.4+C4/100000)*C21*12/16</f>
        <v>18.450000000000003</v>
      </c>
    </row>
    <row r="4" spans="1:10" ht="16.5">
      <c r="A4" s="103" t="s">
        <v>408</v>
      </c>
      <c r="B4" s="103" t="s">
        <v>5</v>
      </c>
      <c r="C4" s="165">
        <v>40000</v>
      </c>
      <c r="D4" s="103" t="s">
        <v>91</v>
      </c>
      <c r="G4" s="201" t="s">
        <v>31</v>
      </c>
      <c r="H4" s="103" t="s">
        <v>386</v>
      </c>
      <c r="I4" s="103" t="s">
        <v>391</v>
      </c>
      <c r="J4" s="100">
        <f>(0.4+C4/100000)*C21*12/18.5</f>
        <v>15.956756756756759</v>
      </c>
    </row>
    <row r="5" spans="1:10" ht="16.5">
      <c r="A5" s="103" t="s">
        <v>103</v>
      </c>
      <c r="B5" s="103" t="s">
        <v>90</v>
      </c>
      <c r="C5" s="202">
        <v>150</v>
      </c>
      <c r="D5" s="103" t="s">
        <v>92</v>
      </c>
      <c r="G5" s="201" t="s">
        <v>32</v>
      </c>
      <c r="H5" s="103" t="s">
        <v>387</v>
      </c>
      <c r="I5" s="103" t="s">
        <v>392</v>
      </c>
      <c r="J5" s="100">
        <f>(0.4+C4/100000)*C21*12/21</f>
        <v>14.057142857142859</v>
      </c>
    </row>
    <row r="6" spans="3:10" ht="16.5">
      <c r="C6" s="202"/>
      <c r="G6" s="201" t="s">
        <v>33</v>
      </c>
      <c r="H6" s="103" t="s">
        <v>388</v>
      </c>
      <c r="I6" s="103" t="s">
        <v>393</v>
      </c>
      <c r="J6" s="100">
        <f>(0.4+C4/100000)*C21*12/8</f>
        <v>36.900000000000006</v>
      </c>
    </row>
    <row r="7" spans="3:10" ht="16.5">
      <c r="C7" s="202"/>
      <c r="G7" s="201"/>
      <c r="H7" s="103"/>
      <c r="I7" s="103"/>
      <c r="J7" s="100"/>
    </row>
    <row r="9" ht="16.5">
      <c r="A9" s="201" t="s">
        <v>71</v>
      </c>
    </row>
    <row r="10" spans="1:4" ht="13.5">
      <c r="A10" s="103" t="s">
        <v>398</v>
      </c>
      <c r="C10" s="165">
        <v>10</v>
      </c>
      <c r="D10" t="s">
        <v>13</v>
      </c>
    </row>
    <row r="11" spans="1:4" ht="13.5">
      <c r="A11" t="s">
        <v>382</v>
      </c>
      <c r="C11" s="165">
        <v>30.75</v>
      </c>
      <c r="D11" t="s">
        <v>13</v>
      </c>
    </row>
    <row r="12" spans="1:4" ht="13.5">
      <c r="A12" s="103" t="s">
        <v>418</v>
      </c>
      <c r="B12" s="103" t="s">
        <v>420</v>
      </c>
      <c r="C12" s="165">
        <v>29.25</v>
      </c>
      <c r="D12" s="103" t="s">
        <v>13</v>
      </c>
    </row>
    <row r="13" spans="1:4" ht="13.5">
      <c r="A13" s="103" t="s">
        <v>419</v>
      </c>
      <c r="B13" s="103" t="s">
        <v>421</v>
      </c>
      <c r="C13" s="165">
        <v>29.25</v>
      </c>
      <c r="D13" s="103" t="s">
        <v>13</v>
      </c>
    </row>
    <row r="14" spans="1:4" ht="13.5">
      <c r="A14" s="103" t="s">
        <v>394</v>
      </c>
      <c r="B14" s="103"/>
      <c r="C14" s="165">
        <v>18</v>
      </c>
      <c r="D14" s="103" t="s">
        <v>15</v>
      </c>
    </row>
    <row r="15" spans="1:9" ht="19.5">
      <c r="A15" s="103" t="s">
        <v>395</v>
      </c>
      <c r="B15" s="103" t="s">
        <v>98</v>
      </c>
      <c r="C15" s="205">
        <v>24</v>
      </c>
      <c r="D15" s="103" t="s">
        <v>15</v>
      </c>
      <c r="G15" s="103"/>
      <c r="H15" s="103"/>
      <c r="I15" s="103"/>
    </row>
    <row r="16" spans="1:9" ht="13.5">
      <c r="A16" s="103" t="s">
        <v>402</v>
      </c>
      <c r="B16" s="103" t="s">
        <v>129</v>
      </c>
      <c r="C16" s="206">
        <v>3</v>
      </c>
      <c r="D16" s="103" t="s">
        <v>15</v>
      </c>
      <c r="G16" s="103"/>
      <c r="H16" s="103"/>
      <c r="I16" s="103"/>
    </row>
    <row r="17" spans="1:9" ht="13.5">
      <c r="A17" s="103" t="s">
        <v>403</v>
      </c>
      <c r="B17" s="103" t="s">
        <v>128</v>
      </c>
      <c r="C17" s="206">
        <f>C15-C16</f>
        <v>21</v>
      </c>
      <c r="D17" s="103" t="s">
        <v>15</v>
      </c>
      <c r="G17" s="103"/>
      <c r="H17" s="103"/>
      <c r="I17" s="103"/>
    </row>
    <row r="18" spans="1:9" ht="13.5">
      <c r="A18" s="103" t="s">
        <v>396</v>
      </c>
      <c r="B18" s="103" t="s">
        <v>99</v>
      </c>
      <c r="C18" s="165">
        <v>12</v>
      </c>
      <c r="D18" s="103" t="s">
        <v>15</v>
      </c>
      <c r="G18" s="103"/>
      <c r="H18" s="103"/>
      <c r="I18" s="103"/>
    </row>
    <row r="19" spans="1:4" ht="13.5">
      <c r="A19" s="103" t="s">
        <v>397</v>
      </c>
      <c r="B19" t="s">
        <v>100</v>
      </c>
      <c r="C19" s="165">
        <v>6</v>
      </c>
      <c r="D19" t="s">
        <v>15</v>
      </c>
    </row>
    <row r="20" spans="1:4" ht="16.5">
      <c r="A20" s="103" t="s">
        <v>401</v>
      </c>
      <c r="B20" s="203" t="s">
        <v>383</v>
      </c>
      <c r="C20" s="204">
        <f>MIN((16*C19+C18),(C11*12/4),(C10*12))</f>
        <v>92.25</v>
      </c>
      <c r="D20" t="s">
        <v>15</v>
      </c>
    </row>
    <row r="21" spans="1:4" ht="16.5">
      <c r="A21" s="103" t="s">
        <v>399</v>
      </c>
      <c r="B21" s="103" t="s">
        <v>400</v>
      </c>
      <c r="C21" s="190">
        <f>MIN(C12+C15/12,C11)</f>
        <v>30.75</v>
      </c>
      <c r="D21" s="103" t="s">
        <v>13</v>
      </c>
    </row>
    <row r="24" ht="16.5">
      <c r="A24" s="201" t="s">
        <v>404</v>
      </c>
    </row>
    <row r="26" spans="1:4" ht="13.5">
      <c r="A26" s="103" t="s">
        <v>405</v>
      </c>
      <c r="B26" s="103" t="s">
        <v>252</v>
      </c>
      <c r="C26" s="202">
        <v>1.25</v>
      </c>
      <c r="D26" s="103" t="s">
        <v>49</v>
      </c>
    </row>
    <row r="27" spans="1:4" ht="13.5">
      <c r="A27" s="103" t="s">
        <v>406</v>
      </c>
      <c r="B27" s="103" t="s">
        <v>409</v>
      </c>
      <c r="C27">
        <f>C5*(C15-C19)*C18/144000</f>
        <v>0.225</v>
      </c>
      <c r="D27" s="103" t="s">
        <v>49</v>
      </c>
    </row>
    <row r="28" spans="1:8" ht="16.5">
      <c r="A28" s="190" t="s">
        <v>173</v>
      </c>
      <c r="B28" s="190" t="s">
        <v>132</v>
      </c>
      <c r="C28" s="190">
        <f>C27+C26</f>
        <v>1.475</v>
      </c>
      <c r="D28" s="103" t="s">
        <v>49</v>
      </c>
      <c r="H28">
        <f>12000*C31*C12^2*0.0909090909090909/(0.9*C4*(C17-C40/2))</f>
        <v>3.0121338789781946</v>
      </c>
    </row>
    <row r="29" spans="1:4" ht="16.5">
      <c r="A29" s="190" t="s">
        <v>413</v>
      </c>
      <c r="B29" s="190" t="s">
        <v>6</v>
      </c>
      <c r="C29" s="207">
        <v>0.4</v>
      </c>
      <c r="D29" s="103" t="s">
        <v>49</v>
      </c>
    </row>
    <row r="30" spans="1:9" ht="16.5">
      <c r="A30" s="190" t="s">
        <v>410</v>
      </c>
      <c r="B30" s="190" t="s">
        <v>411</v>
      </c>
      <c r="C30" s="190">
        <f>C28+C29</f>
        <v>1.875</v>
      </c>
      <c r="D30" s="103" t="s">
        <v>49</v>
      </c>
      <c r="I30">
        <f>C31*C12^2*0</f>
        <v>0</v>
      </c>
    </row>
    <row r="31" spans="1:9" ht="16.5">
      <c r="A31" s="190" t="s">
        <v>412</v>
      </c>
      <c r="B31" s="190" t="s">
        <v>249</v>
      </c>
      <c r="C31" s="190">
        <f>1.2*C28+1.6*C29</f>
        <v>2.41</v>
      </c>
      <c r="D31" s="103" t="s">
        <v>49</v>
      </c>
      <c r="I31">
        <f>C31*C12^2*0.0416666666666667</f>
        <v>85.91273437500008</v>
      </c>
    </row>
    <row r="32" ht="13.5">
      <c r="I32">
        <f>C31*C12^2*1/16</f>
        <v>128.86910156250002</v>
      </c>
    </row>
    <row r="34" ht="17.25" thickBot="1">
      <c r="A34" s="201" t="s">
        <v>414</v>
      </c>
    </row>
    <row r="35" spans="1:19" ht="13.5">
      <c r="A35" t="s">
        <v>422</v>
      </c>
      <c r="E35" s="226"/>
      <c r="F35" s="227"/>
      <c r="G35" s="227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  <row r="36" spans="1:21" ht="16.5">
      <c r="A36" s="103" t="s">
        <v>423</v>
      </c>
      <c r="B36" t="s">
        <v>73</v>
      </c>
      <c r="C36" s="82">
        <f>C19</f>
        <v>6</v>
      </c>
      <c r="D36" t="s">
        <v>15</v>
      </c>
      <c r="E36" s="234" t="s">
        <v>416</v>
      </c>
      <c r="F36" s="235"/>
      <c r="G36" s="235"/>
      <c r="H36" s="210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21"/>
      <c r="T36" s="208"/>
      <c r="U36" s="83"/>
    </row>
    <row r="37" spans="1:21" ht="15.75">
      <c r="A37" s="103"/>
      <c r="B37" s="103" t="s">
        <v>101</v>
      </c>
      <c r="C37" s="82">
        <f>12000*J37/(0.9*C4*(C17-C36/2))</f>
        <v>3.471221590909091</v>
      </c>
      <c r="D37" s="103" t="s">
        <v>116</v>
      </c>
      <c r="E37" s="236" t="s">
        <v>417</v>
      </c>
      <c r="F37" s="237"/>
      <c r="G37" s="237"/>
      <c r="H37" s="212">
        <f>C31*C12^2*0</f>
        <v>0</v>
      </c>
      <c r="I37" s="213"/>
      <c r="J37" s="238">
        <f>C31*C12^2*0.0909090909090909</f>
        <v>187.44596590909092</v>
      </c>
      <c r="K37" s="238"/>
      <c r="L37" s="214"/>
      <c r="M37" s="215"/>
      <c r="N37" s="214"/>
      <c r="O37" s="214"/>
      <c r="P37" s="214"/>
      <c r="Q37" s="214"/>
      <c r="R37" s="214"/>
      <c r="S37" s="222"/>
      <c r="T37" s="83"/>
      <c r="U37" s="209"/>
    </row>
    <row r="38" spans="1:21" ht="15.75">
      <c r="A38" s="103" t="s">
        <v>424</v>
      </c>
      <c r="B38" s="103" t="s">
        <v>73</v>
      </c>
      <c r="C38" s="82">
        <f>C37*C4/(0.85*C3*C20)</f>
        <v>0.5902496992884367</v>
      </c>
      <c r="D38" s="103" t="s">
        <v>15</v>
      </c>
      <c r="E38" s="236" t="s">
        <v>415</v>
      </c>
      <c r="F38" s="237"/>
      <c r="G38" s="237"/>
      <c r="H38" s="216">
        <f>C31*C12^2*0.0416666666666667</f>
        <v>85.91273437500008</v>
      </c>
      <c r="I38" s="213"/>
      <c r="J38" s="238">
        <f>C31*C12^2*0.0714285714285714</f>
        <v>147.27897321428568</v>
      </c>
      <c r="K38" s="238"/>
      <c r="L38" s="217">
        <f>C31*C12^2*0.1</f>
        <v>206.19056250000006</v>
      </c>
      <c r="M38" s="216">
        <f>C31*C13^2*0.0909090909090909</f>
        <v>187.44596590909092</v>
      </c>
      <c r="N38" s="213"/>
      <c r="O38" s="218">
        <f>C31*C13^2*0.0625</f>
        <v>128.86910156250002</v>
      </c>
      <c r="P38" s="213"/>
      <c r="Q38" s="217">
        <f>C31*C13^2*0.0909090909090909</f>
        <v>187.44596590909092</v>
      </c>
      <c r="R38" s="216">
        <f>C31*C13^2*0.0909090909090909</f>
        <v>187.44596590909092</v>
      </c>
      <c r="S38" s="223"/>
      <c r="T38" s="83"/>
      <c r="U38" s="209"/>
    </row>
    <row r="39" spans="2:21" ht="15.75">
      <c r="B39" s="103" t="s">
        <v>101</v>
      </c>
      <c r="C39" s="82">
        <f>12000*J37/(0.9*C4*(C17-C38/2))</f>
        <v>3.017742835087319</v>
      </c>
      <c r="D39" s="232" t="s">
        <v>116</v>
      </c>
      <c r="E39" s="236" t="s">
        <v>227</v>
      </c>
      <c r="F39" s="237"/>
      <c r="G39" s="237"/>
      <c r="H39" s="216">
        <f>C31*C12^2*1/16</f>
        <v>128.86910156250002</v>
      </c>
      <c r="I39" s="213"/>
      <c r="J39" s="238">
        <f>C31*C12^2*0.0714285714285714</f>
        <v>147.27897321428568</v>
      </c>
      <c r="K39" s="238"/>
      <c r="L39" s="214"/>
      <c r="M39" s="215"/>
      <c r="N39" s="214"/>
      <c r="O39" s="214"/>
      <c r="P39" s="214"/>
      <c r="Q39" s="214"/>
      <c r="R39" s="214"/>
      <c r="S39" s="222"/>
      <c r="T39" s="83"/>
      <c r="U39" s="209"/>
    </row>
    <row r="40" spans="1:21" ht="15.75">
      <c r="A40" s="103" t="s">
        <v>425</v>
      </c>
      <c r="B40" s="103" t="s">
        <v>73</v>
      </c>
      <c r="C40" s="82">
        <f>C39*C4/(0.85*C3*C20)</f>
        <v>0.5131397562186844</v>
      </c>
      <c r="D40" s="232" t="s">
        <v>15</v>
      </c>
      <c r="E40" s="228"/>
      <c r="F40" s="229"/>
      <c r="G40" s="229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22"/>
      <c r="T40" s="83"/>
      <c r="U40" s="83"/>
    </row>
    <row r="41" spans="2:21" ht="13.5">
      <c r="B41" s="103" t="s">
        <v>101</v>
      </c>
      <c r="C41" s="82">
        <f>12000*C31*C12^2*0.0909090909090909/(0.9*C4*(C17-C40/2))</f>
        <v>3.0121338789781946</v>
      </c>
      <c r="D41" s="232" t="s">
        <v>116</v>
      </c>
      <c r="E41" s="228"/>
      <c r="F41" s="229"/>
      <c r="G41" s="229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23"/>
      <c r="T41" s="83"/>
      <c r="U41" s="83"/>
    </row>
    <row r="42" spans="1:21" ht="13.5">
      <c r="A42" s="103" t="s">
        <v>426</v>
      </c>
      <c r="B42" s="233" t="s">
        <v>73</v>
      </c>
      <c r="C42" s="82">
        <f>C41*C4/(0.85*C3*C20)</f>
        <v>0.5121860041835498</v>
      </c>
      <c r="D42" s="232" t="s">
        <v>15</v>
      </c>
      <c r="E42" s="228"/>
      <c r="F42" s="229"/>
      <c r="G42" s="229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23"/>
      <c r="T42" s="83"/>
      <c r="U42" s="83"/>
    </row>
    <row r="43" spans="5:21" ht="13.5">
      <c r="E43" s="228"/>
      <c r="F43" s="229"/>
      <c r="G43" s="229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23"/>
      <c r="T43" s="83"/>
      <c r="U43" s="83"/>
    </row>
    <row r="44" spans="5:19" ht="13.5">
      <c r="E44" s="228"/>
      <c r="F44" s="229"/>
      <c r="G44" s="229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23"/>
    </row>
    <row r="45" spans="5:19" ht="13.5">
      <c r="E45" s="228"/>
      <c r="F45" s="229"/>
      <c r="G45" s="229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23"/>
    </row>
    <row r="46" spans="5:19" ht="14.25" thickBot="1">
      <c r="E46" s="230"/>
      <c r="F46" s="231"/>
      <c r="G46" s="231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5"/>
    </row>
    <row r="85" ht="13.5">
      <c r="A85" s="103" t="s">
        <v>297</v>
      </c>
    </row>
    <row r="86" spans="2:4" ht="13.5">
      <c r="B86" s="103" t="s">
        <v>98</v>
      </c>
      <c r="C86" s="165">
        <v>36</v>
      </c>
      <c r="D86" s="103" t="s">
        <v>15</v>
      </c>
    </row>
    <row r="87" spans="2:4" ht="13.5">
      <c r="B87" s="103" t="s">
        <v>129</v>
      </c>
      <c r="C87" s="165">
        <v>1.5</v>
      </c>
      <c r="D87" s="103" t="s">
        <v>15</v>
      </c>
    </row>
    <row r="88" spans="2:4" ht="13.5">
      <c r="B88" s="103" t="s">
        <v>128</v>
      </c>
      <c r="C88">
        <f>C86-C87</f>
        <v>34.5</v>
      </c>
      <c r="D88" s="103" t="s">
        <v>15</v>
      </c>
    </row>
    <row r="89" spans="2:4" ht="13.5">
      <c r="B89" s="103" t="s">
        <v>99</v>
      </c>
      <c r="C89" s="165">
        <v>12</v>
      </c>
      <c r="D89" s="103" t="s">
        <v>15</v>
      </c>
    </row>
    <row r="90" spans="2:4" ht="13.5">
      <c r="B90" s="103" t="s">
        <v>70</v>
      </c>
      <c r="C90" s="165">
        <v>4000</v>
      </c>
      <c r="D90" s="103" t="s">
        <v>14</v>
      </c>
    </row>
    <row r="91" spans="2:4" ht="13.5">
      <c r="B91" s="103" t="s">
        <v>5</v>
      </c>
      <c r="C91" s="165">
        <v>40000</v>
      </c>
      <c r="D91" s="103" t="s">
        <v>14</v>
      </c>
    </row>
    <row r="92" spans="2:4" ht="13.5">
      <c r="B92" s="161" t="s">
        <v>217</v>
      </c>
      <c r="C92" s="161">
        <v>135</v>
      </c>
      <c r="D92" s="103" t="s">
        <v>205</v>
      </c>
    </row>
    <row r="93" spans="2:4" ht="13.5">
      <c r="B93" s="103" t="s">
        <v>242</v>
      </c>
      <c r="C93" s="165">
        <v>0.75</v>
      </c>
      <c r="D93" s="103"/>
    </row>
    <row r="94" spans="2:4" ht="13.5">
      <c r="B94" s="161" t="s">
        <v>224</v>
      </c>
      <c r="C94" s="161">
        <f>C93*2*(C90^0.5)*C89*C88/1000</f>
        <v>39.27548853929127</v>
      </c>
      <c r="D94" s="103" t="s">
        <v>205</v>
      </c>
    </row>
    <row r="97" ht="13.5">
      <c r="A97" s="103" t="s">
        <v>298</v>
      </c>
    </row>
    <row r="98" ht="13.5">
      <c r="A98" s="103" t="s">
        <v>299</v>
      </c>
    </row>
    <row r="99" spans="2:3" ht="13.5">
      <c r="B99" s="103" t="s">
        <v>244</v>
      </c>
      <c r="C99" s="165">
        <v>3</v>
      </c>
    </row>
    <row r="100" spans="2:3" ht="13.5">
      <c r="B100" s="103" t="s">
        <v>300</v>
      </c>
      <c r="C100" s="165">
        <v>2</v>
      </c>
    </row>
    <row r="101" spans="2:4" ht="13.5">
      <c r="B101" s="103" t="s">
        <v>301</v>
      </c>
      <c r="C101">
        <f>(C99/9)^2*C100</f>
        <v>0.2222222222222222</v>
      </c>
      <c r="D101" s="103" t="s">
        <v>116</v>
      </c>
    </row>
    <row r="102" spans="2:4" ht="13.5">
      <c r="B102" s="103" t="s">
        <v>303</v>
      </c>
      <c r="C102">
        <f>C93*C101*C91*C88/(C92-C94)/1000</f>
        <v>2.402728376361641</v>
      </c>
      <c r="D102" s="103" t="s">
        <v>15</v>
      </c>
    </row>
    <row r="103" spans="2:5" ht="13.5">
      <c r="B103" s="242" t="s">
        <v>302</v>
      </c>
      <c r="C103" s="75">
        <f>C101*C91/50/C89</f>
        <v>14.814814814814815</v>
      </c>
      <c r="D103" s="243">
        <f>MIN(C103:C106)</f>
        <v>14.814814814814815</v>
      </c>
      <c r="E103" s="244" t="s">
        <v>304</v>
      </c>
    </row>
    <row r="104" spans="2:5" ht="13.5">
      <c r="B104" s="242"/>
      <c r="C104" s="75">
        <f>C88/2</f>
        <v>17.25</v>
      </c>
      <c r="D104" s="243"/>
      <c r="E104" s="244"/>
    </row>
    <row r="105" spans="2:5" ht="13.5">
      <c r="B105" s="242"/>
      <c r="C105" s="162">
        <v>24</v>
      </c>
      <c r="D105" s="243"/>
      <c r="E105" s="244"/>
    </row>
    <row r="106" spans="2:5" ht="13.5">
      <c r="B106" s="242"/>
      <c r="C106" s="75">
        <f>C101*C91/0.75/C90^0.5/C89</f>
        <v>15.616185976140146</v>
      </c>
      <c r="D106" s="243"/>
      <c r="E106" s="244"/>
    </row>
    <row r="108" spans="1:7" ht="19.5">
      <c r="A108" s="245" t="s">
        <v>427</v>
      </c>
      <c r="B108" s="245"/>
      <c r="C108" s="163" t="s">
        <v>256</v>
      </c>
      <c r="D108" s="163">
        <f>C99</f>
        <v>3</v>
      </c>
      <c r="E108" s="163" t="s">
        <v>257</v>
      </c>
      <c r="F108" s="164">
        <f>MIN(D103,C102)</f>
        <v>2.402728376361641</v>
      </c>
      <c r="G108" s="163" t="s">
        <v>305</v>
      </c>
    </row>
    <row r="112" spans="1:2" ht="13.5">
      <c r="A112" s="239" t="s">
        <v>322</v>
      </c>
      <c r="B112" s="239"/>
    </row>
    <row r="113" spans="2:4" ht="13.5">
      <c r="B113" t="s">
        <v>324</v>
      </c>
      <c r="C113">
        <f>6/8</f>
        <v>0.75</v>
      </c>
      <c r="D113" t="s">
        <v>15</v>
      </c>
    </row>
    <row r="114" spans="2:4" ht="13.5">
      <c r="B114" t="s">
        <v>323</v>
      </c>
      <c r="C114">
        <f>MAX(8*C113,6,C91*C113/(65*C90^0.5))</f>
        <v>7.297563831157798</v>
      </c>
      <c r="D114" t="s">
        <v>15</v>
      </c>
    </row>
  </sheetData>
  <sheetProtection/>
  <mergeCells count="14">
    <mergeCell ref="A112:B112"/>
    <mergeCell ref="G2:J2"/>
    <mergeCell ref="A1:D1"/>
    <mergeCell ref="B103:B106"/>
    <mergeCell ref="D103:D106"/>
    <mergeCell ref="E103:E106"/>
    <mergeCell ref="A108:B108"/>
    <mergeCell ref="E36:G36"/>
    <mergeCell ref="E37:G37"/>
    <mergeCell ref="E38:G38"/>
    <mergeCell ref="E39:G39"/>
    <mergeCell ref="J37:K37"/>
    <mergeCell ref="J38:K38"/>
    <mergeCell ref="J39:K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875" style="0" bestFit="1" customWidth="1"/>
    <col min="4" max="4" width="9.25390625" style="0" customWidth="1"/>
  </cols>
  <sheetData>
    <row r="3" spans="1:8" ht="19.5">
      <c r="A3" s="248" t="s">
        <v>378</v>
      </c>
      <c r="B3" s="248"/>
      <c r="C3" s="248"/>
      <c r="D3" s="248"/>
      <c r="E3" s="248"/>
      <c r="F3" s="248"/>
      <c r="G3" s="248"/>
      <c r="H3" s="248"/>
    </row>
    <row r="4" spans="2:8" ht="16.5">
      <c r="B4" s="246" t="s">
        <v>338</v>
      </c>
      <c r="C4" s="246"/>
      <c r="D4" s="246"/>
      <c r="E4" s="190"/>
      <c r="F4" s="192"/>
      <c r="G4" s="190"/>
      <c r="H4" s="190"/>
    </row>
    <row r="5" spans="3:8" ht="16.5">
      <c r="C5" s="191" t="s">
        <v>337</v>
      </c>
      <c r="D5" s="247" t="s">
        <v>340</v>
      </c>
      <c r="E5" s="247"/>
      <c r="F5" s="191" t="s">
        <v>336</v>
      </c>
      <c r="G5" s="247" t="s">
        <v>339</v>
      </c>
      <c r="H5" s="247"/>
    </row>
    <row r="6" spans="3:8" ht="16.5">
      <c r="C6" s="191" t="s">
        <v>335</v>
      </c>
      <c r="D6" s="247" t="s">
        <v>340</v>
      </c>
      <c r="E6" s="247"/>
      <c r="F6" s="191" t="s">
        <v>334</v>
      </c>
      <c r="G6" s="247" t="s">
        <v>339</v>
      </c>
      <c r="H6" s="247"/>
    </row>
    <row r="7" spans="3:8" s="83" customFormat="1" ht="16.5">
      <c r="C7" s="193"/>
      <c r="D7" s="194"/>
      <c r="E7" s="194"/>
      <c r="F7" s="193"/>
      <c r="G7" s="194"/>
      <c r="H7" s="194"/>
    </row>
    <row r="8" spans="2:4" ht="16.5">
      <c r="B8" s="246" t="s">
        <v>341</v>
      </c>
      <c r="C8" s="246"/>
      <c r="D8" s="246"/>
    </row>
    <row r="9" spans="3:8" ht="16.5">
      <c r="C9" s="191" t="s">
        <v>337</v>
      </c>
      <c r="D9" s="247" t="s">
        <v>380</v>
      </c>
      <c r="E9" s="247"/>
      <c r="F9" s="191" t="s">
        <v>336</v>
      </c>
      <c r="G9" s="247" t="s">
        <v>381</v>
      </c>
      <c r="H9" s="247"/>
    </row>
    <row r="10" spans="3:8" ht="16.5">
      <c r="C10" s="191" t="s">
        <v>335</v>
      </c>
      <c r="D10" s="247" t="s">
        <v>380</v>
      </c>
      <c r="E10" s="247"/>
      <c r="F10" s="191" t="s">
        <v>334</v>
      </c>
      <c r="G10" s="247" t="s">
        <v>381</v>
      </c>
      <c r="H10" s="247"/>
    </row>
    <row r="12" spans="2:4" ht="16.5">
      <c r="B12" s="246" t="s">
        <v>342</v>
      </c>
      <c r="C12" s="246"/>
      <c r="D12" s="246"/>
    </row>
    <row r="13" spans="3:8" ht="16.5">
      <c r="C13" s="191" t="s">
        <v>337</v>
      </c>
      <c r="D13" s="247" t="s">
        <v>380</v>
      </c>
      <c r="E13" s="247"/>
      <c r="F13" s="191" t="s">
        <v>336</v>
      </c>
      <c r="G13" s="247" t="s">
        <v>380</v>
      </c>
      <c r="H13" s="247"/>
    </row>
    <row r="14" spans="3:8" ht="16.5">
      <c r="C14" s="191" t="s">
        <v>335</v>
      </c>
      <c r="D14" s="247" t="s">
        <v>380</v>
      </c>
      <c r="E14" s="247"/>
      <c r="F14" s="191" t="s">
        <v>334</v>
      </c>
      <c r="G14" s="247" t="s">
        <v>380</v>
      </c>
      <c r="H14" s="247"/>
    </row>
    <row r="21" spans="1:8" ht="19.5">
      <c r="A21" s="248" t="s">
        <v>379</v>
      </c>
      <c r="B21" s="248"/>
      <c r="C21" s="248"/>
      <c r="D21" s="248"/>
      <c r="E21" s="248"/>
      <c r="F21" s="248"/>
      <c r="G21" s="248"/>
      <c r="H21" s="248"/>
    </row>
    <row r="22" spans="1:9" ht="19.5">
      <c r="A22" s="200"/>
      <c r="B22" s="246" t="s">
        <v>376</v>
      </c>
      <c r="C22" s="246"/>
      <c r="D22" s="246"/>
      <c r="E22" s="200"/>
      <c r="F22" s="200"/>
      <c r="G22" s="200"/>
      <c r="H22" s="200"/>
      <c r="I22" s="83"/>
    </row>
    <row r="23" spans="3:8" ht="16.5">
      <c r="C23" s="191" t="s">
        <v>337</v>
      </c>
      <c r="D23" s="247" t="s">
        <v>340</v>
      </c>
      <c r="E23" s="247"/>
      <c r="F23" s="191" t="s">
        <v>336</v>
      </c>
      <c r="G23" s="247" t="s">
        <v>339</v>
      </c>
      <c r="H23" s="247"/>
    </row>
    <row r="24" spans="3:8" ht="16.5">
      <c r="C24" s="191" t="s">
        <v>335</v>
      </c>
      <c r="D24" s="247" t="s">
        <v>340</v>
      </c>
      <c r="E24" s="247"/>
      <c r="F24" s="191" t="s">
        <v>334</v>
      </c>
      <c r="G24" s="247" t="s">
        <v>339</v>
      </c>
      <c r="H24" s="247"/>
    </row>
    <row r="26" spans="2:4" ht="16.5">
      <c r="B26" s="246" t="s">
        <v>377</v>
      </c>
      <c r="C26" s="246"/>
      <c r="D26" s="246"/>
    </row>
  </sheetData>
  <sheetProtection/>
  <mergeCells count="23">
    <mergeCell ref="B4:D4"/>
    <mergeCell ref="B12:D12"/>
    <mergeCell ref="A3:H3"/>
    <mergeCell ref="D9:E9"/>
    <mergeCell ref="G9:H9"/>
    <mergeCell ref="D10:E10"/>
    <mergeCell ref="G10:H10"/>
    <mergeCell ref="G13:H13"/>
    <mergeCell ref="G14:H14"/>
    <mergeCell ref="G5:H5"/>
    <mergeCell ref="G6:H6"/>
    <mergeCell ref="D13:E13"/>
    <mergeCell ref="D14:E14"/>
    <mergeCell ref="D5:E5"/>
    <mergeCell ref="D6:E6"/>
    <mergeCell ref="B8:D8"/>
    <mergeCell ref="B26:D26"/>
    <mergeCell ref="D23:E23"/>
    <mergeCell ref="G23:H23"/>
    <mergeCell ref="D24:E24"/>
    <mergeCell ref="G24:H24"/>
    <mergeCell ref="A21:H21"/>
    <mergeCell ref="B22:D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55.25390625" style="0" bestFit="1" customWidth="1"/>
    <col min="2" max="2" width="16.00390625" style="0" bestFit="1" customWidth="1"/>
    <col min="3" max="3" width="11.875" style="0" bestFit="1" customWidth="1"/>
    <col min="4" max="4" width="8.875" style="0" bestFit="1" customWidth="1"/>
    <col min="5" max="5" width="16.00390625" style="75" bestFit="1" customWidth="1"/>
    <col min="7" max="7" width="9.875" style="0" bestFit="1" customWidth="1"/>
  </cols>
  <sheetData>
    <row r="1" spans="1:5" ht="19.5">
      <c r="A1" s="254" t="s">
        <v>74</v>
      </c>
      <c r="B1" s="254"/>
      <c r="C1" s="254"/>
      <c r="D1" s="254"/>
      <c r="E1" s="94"/>
    </row>
    <row r="2" ht="13.5">
      <c r="A2" s="256"/>
    </row>
    <row r="3" ht="13.5">
      <c r="A3" s="256"/>
    </row>
    <row r="4" spans="1:15" ht="18.75">
      <c r="A4" s="256"/>
      <c r="B4" s="86"/>
      <c r="C4" s="86"/>
      <c r="D4" s="86"/>
      <c r="E4" s="86"/>
      <c r="F4" s="255" t="s">
        <v>76</v>
      </c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3.5">
      <c r="A5" s="256"/>
      <c r="B5" s="64"/>
      <c r="C5" s="64"/>
      <c r="D5" s="64"/>
      <c r="E5" s="76"/>
      <c r="F5" s="69" t="s">
        <v>82</v>
      </c>
      <c r="G5" s="255" t="s">
        <v>83</v>
      </c>
      <c r="H5" s="255"/>
      <c r="I5" s="255"/>
      <c r="J5" s="255"/>
      <c r="K5" s="255"/>
      <c r="L5" s="255"/>
      <c r="M5" s="255"/>
      <c r="N5" s="255"/>
      <c r="O5" s="70" t="s">
        <v>84</v>
      </c>
    </row>
    <row r="6" spans="2:15" ht="13.5">
      <c r="B6" s="67"/>
      <c r="C6" s="67"/>
      <c r="D6" s="67"/>
      <c r="E6" s="67"/>
      <c r="F6" s="71">
        <v>1</v>
      </c>
      <c r="G6" s="252" t="s">
        <v>79</v>
      </c>
      <c r="H6" s="252"/>
      <c r="I6" s="252"/>
      <c r="J6" s="252"/>
      <c r="K6" s="252"/>
      <c r="L6" s="252"/>
      <c r="M6" s="252"/>
      <c r="N6" s="252"/>
      <c r="O6">
        <v>2.4</v>
      </c>
    </row>
    <row r="7" spans="2:15" ht="13.5">
      <c r="B7" s="67"/>
      <c r="C7" s="67"/>
      <c r="D7" s="67"/>
      <c r="E7" s="67"/>
      <c r="F7" s="71">
        <v>2</v>
      </c>
      <c r="G7" s="252" t="s">
        <v>77</v>
      </c>
      <c r="H7" s="252"/>
      <c r="I7" s="252"/>
      <c r="J7" s="252"/>
      <c r="K7" s="252"/>
      <c r="L7" s="252"/>
      <c r="M7" s="252"/>
      <c r="N7" s="252"/>
      <c r="O7">
        <v>1</v>
      </c>
    </row>
    <row r="8" spans="2:14" ht="13.5">
      <c r="B8" s="67"/>
      <c r="C8" s="67"/>
      <c r="D8" s="67"/>
      <c r="E8" s="67"/>
      <c r="F8" s="71">
        <v>3</v>
      </c>
      <c r="G8" s="252" t="s">
        <v>78</v>
      </c>
      <c r="H8" s="252"/>
      <c r="I8" s="252"/>
      <c r="J8" s="252"/>
      <c r="K8" s="252"/>
      <c r="L8" s="252"/>
      <c r="M8" s="252"/>
      <c r="N8" s="252"/>
    </row>
    <row r="9" spans="2:15" ht="13.5">
      <c r="B9" s="67"/>
      <c r="C9" s="67"/>
      <c r="D9" s="67"/>
      <c r="E9" s="67"/>
      <c r="F9" s="71">
        <v>4</v>
      </c>
      <c r="G9" s="252" t="s">
        <v>80</v>
      </c>
      <c r="H9" s="252"/>
      <c r="I9" s="252"/>
      <c r="J9" s="252"/>
      <c r="K9" s="252"/>
      <c r="L9" s="252"/>
      <c r="M9" s="252"/>
      <c r="N9" s="252"/>
      <c r="O9">
        <v>0.8</v>
      </c>
    </row>
    <row r="10" spans="2:15" ht="13.5">
      <c r="B10" s="67"/>
      <c r="C10" s="67"/>
      <c r="D10" s="67"/>
      <c r="E10" s="67"/>
      <c r="F10" s="71">
        <v>5</v>
      </c>
      <c r="G10" s="252" t="s">
        <v>81</v>
      </c>
      <c r="H10" s="252"/>
      <c r="I10" s="252"/>
      <c r="J10" s="252"/>
      <c r="K10" s="252"/>
      <c r="L10" s="252"/>
      <c r="M10" s="252"/>
      <c r="N10" s="252"/>
      <c r="O10">
        <v>0.74</v>
      </c>
    </row>
    <row r="11" spans="5:15" ht="13.5">
      <c r="E11" s="84"/>
      <c r="F11" s="71">
        <v>6</v>
      </c>
      <c r="G11" s="252" t="s">
        <v>85</v>
      </c>
      <c r="H11" s="252"/>
      <c r="I11" s="252"/>
      <c r="J11" s="252"/>
      <c r="K11" s="252"/>
      <c r="L11" s="252"/>
      <c r="M11" s="252"/>
      <c r="N11" s="252"/>
      <c r="O11">
        <v>0.6</v>
      </c>
    </row>
    <row r="12" spans="1:5" ht="13.5">
      <c r="A12" s="251" t="s">
        <v>69</v>
      </c>
      <c r="B12" s="251"/>
      <c r="C12" s="251"/>
      <c r="D12" s="251"/>
      <c r="E12" s="84"/>
    </row>
    <row r="13" spans="1:5" ht="13.5">
      <c r="A13" s="253" t="s">
        <v>71</v>
      </c>
      <c r="B13" s="253"/>
      <c r="C13" s="253"/>
      <c r="D13" s="253"/>
      <c r="E13" s="84"/>
    </row>
    <row r="14" spans="1:15" ht="13.5">
      <c r="A14" s="81" t="s">
        <v>88</v>
      </c>
      <c r="B14" s="68"/>
      <c r="C14" s="64"/>
      <c r="F14" s="257" t="s">
        <v>86</v>
      </c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3.5">
      <c r="A15" s="68"/>
      <c r="B15" s="68" t="s">
        <v>96</v>
      </c>
      <c r="C15" s="85">
        <v>18</v>
      </c>
      <c r="D15" s="64" t="s">
        <v>15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3.5">
      <c r="A16" s="68"/>
      <c r="B16" s="68" t="s">
        <v>97</v>
      </c>
      <c r="C16" s="85">
        <v>18</v>
      </c>
      <c r="D16" s="64" t="s">
        <v>15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>
      <c r="A17" s="73"/>
      <c r="B17" s="68" t="s">
        <v>120</v>
      </c>
      <c r="C17" s="85">
        <v>18</v>
      </c>
      <c r="D17" s="64" t="s">
        <v>13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3.5">
      <c r="A18" s="81" t="s">
        <v>89</v>
      </c>
      <c r="B18" s="68"/>
      <c r="C18" s="75"/>
      <c r="D18" s="64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3.5">
      <c r="A19" s="73"/>
      <c r="B19" s="68" t="s">
        <v>99</v>
      </c>
      <c r="C19" s="85">
        <v>18</v>
      </c>
      <c r="D19" s="64" t="s">
        <v>15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3.5">
      <c r="A20" s="73"/>
      <c r="B20" s="68" t="s">
        <v>123</v>
      </c>
      <c r="C20" s="93">
        <v>18</v>
      </c>
      <c r="D20" s="64" t="s">
        <v>15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3.5">
      <c r="A21" s="73"/>
      <c r="B21" s="68" t="s">
        <v>125</v>
      </c>
      <c r="C21" s="93">
        <v>61.5</v>
      </c>
      <c r="D21" s="64" t="s">
        <v>13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3.5">
      <c r="A22" s="73"/>
      <c r="B22" s="68" t="s">
        <v>124</v>
      </c>
      <c r="C22" s="90">
        <f>C21-C15/12</f>
        <v>60</v>
      </c>
      <c r="D22" s="64" t="s">
        <v>13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3.5">
      <c r="A23" s="73" t="s">
        <v>142</v>
      </c>
      <c r="B23" s="68" t="s">
        <v>143</v>
      </c>
      <c r="C23" s="93">
        <v>10</v>
      </c>
      <c r="D23" s="64" t="s">
        <v>13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3.5">
      <c r="A24" s="73" t="s">
        <v>140</v>
      </c>
      <c r="B24" s="68" t="s">
        <v>141</v>
      </c>
      <c r="C24" s="76">
        <f>C23-C19/12</f>
        <v>8.5</v>
      </c>
      <c r="D24" s="64" t="s">
        <v>13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3.5">
      <c r="A25" s="73"/>
      <c r="B25" s="68"/>
      <c r="C25" s="76"/>
      <c r="D25" s="64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3.5">
      <c r="A26" s="81" t="s">
        <v>122</v>
      </c>
      <c r="B26" s="68"/>
      <c r="C26" s="75"/>
      <c r="D26" s="64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3.5">
      <c r="A27" s="68"/>
      <c r="B27" s="68" t="s">
        <v>121</v>
      </c>
      <c r="C27" s="75">
        <f>MIN(8*C28,0.5*C24*12)</f>
        <v>40</v>
      </c>
      <c r="D27" s="64" t="s">
        <v>15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68"/>
      <c r="B28" s="68" t="s">
        <v>100</v>
      </c>
      <c r="C28" s="85">
        <v>5</v>
      </c>
      <c r="D28" s="64" t="s">
        <v>15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3.5">
      <c r="A29" s="68"/>
      <c r="B29" s="68" t="s">
        <v>98</v>
      </c>
      <c r="C29" s="85">
        <v>60</v>
      </c>
      <c r="D29" s="64" t="s">
        <v>15</v>
      </c>
      <c r="I29" s="72"/>
      <c r="J29" s="72"/>
      <c r="K29" s="72"/>
      <c r="L29" s="72"/>
      <c r="M29" s="72"/>
      <c r="N29" s="72"/>
      <c r="O29" s="72"/>
    </row>
    <row r="30" spans="1:15" ht="13.5">
      <c r="A30" s="68"/>
      <c r="B30" s="68" t="s">
        <v>129</v>
      </c>
      <c r="C30" s="85">
        <v>3</v>
      </c>
      <c r="D30" s="64" t="s">
        <v>15</v>
      </c>
      <c r="I30" s="72"/>
      <c r="J30" s="72"/>
      <c r="K30" s="72"/>
      <c r="L30" s="72"/>
      <c r="M30" s="72"/>
      <c r="N30" s="72"/>
      <c r="O30" s="72"/>
    </row>
    <row r="31" spans="1:15" ht="13.5">
      <c r="A31" s="68"/>
      <c r="B31" s="68" t="s">
        <v>128</v>
      </c>
      <c r="C31" s="75">
        <f>C29-C30</f>
        <v>57</v>
      </c>
      <c r="D31" s="64" t="s">
        <v>15</v>
      </c>
      <c r="I31" s="72"/>
      <c r="J31" s="72"/>
      <c r="K31" s="72"/>
      <c r="L31" s="72"/>
      <c r="M31" s="72"/>
      <c r="N31" s="72"/>
      <c r="O31" s="72"/>
    </row>
    <row r="32" spans="1:15" ht="13.5">
      <c r="A32" s="68"/>
      <c r="B32" s="68" t="s">
        <v>169</v>
      </c>
      <c r="C32" s="75">
        <f>C19*C20+C27*C28</f>
        <v>524</v>
      </c>
      <c r="D32" s="64" t="s">
        <v>116</v>
      </c>
      <c r="I32" s="72"/>
      <c r="J32" s="72"/>
      <c r="K32" s="72"/>
      <c r="L32" s="72"/>
      <c r="M32" s="72"/>
      <c r="N32" s="72"/>
      <c r="O32" s="72"/>
    </row>
    <row r="33" spans="1:15" ht="13.5">
      <c r="A33" s="253" t="s">
        <v>131</v>
      </c>
      <c r="B33" s="253"/>
      <c r="C33" s="253"/>
      <c r="D33" s="253"/>
      <c r="I33" s="72"/>
      <c r="J33" s="72"/>
      <c r="K33" s="72"/>
      <c r="L33" s="72"/>
      <c r="M33" s="72"/>
      <c r="N33" s="72"/>
      <c r="O33" s="72"/>
    </row>
    <row r="34" spans="1:15" ht="13.5">
      <c r="A34" s="68" t="s">
        <v>171</v>
      </c>
      <c r="B34" s="87" t="s">
        <v>132</v>
      </c>
      <c r="C34" s="85">
        <v>2260</v>
      </c>
      <c r="D34" s="88" t="s">
        <v>133</v>
      </c>
      <c r="I34" s="72"/>
      <c r="J34" s="72"/>
      <c r="K34" s="72"/>
      <c r="L34" s="72"/>
      <c r="M34" s="72"/>
      <c r="N34" s="72"/>
      <c r="O34" s="72"/>
    </row>
    <row r="35" spans="1:15" ht="13.5">
      <c r="A35" s="68" t="s">
        <v>172</v>
      </c>
      <c r="B35" s="87" t="s">
        <v>167</v>
      </c>
      <c r="C35" s="84">
        <f>C44*C32/144</f>
        <v>545.8333333333334</v>
      </c>
      <c r="D35" s="88" t="s">
        <v>133</v>
      </c>
      <c r="I35" s="72"/>
      <c r="J35" s="72"/>
      <c r="K35" s="72"/>
      <c r="L35" s="72"/>
      <c r="M35" s="72"/>
      <c r="N35" s="72"/>
      <c r="O35" s="72"/>
    </row>
    <row r="36" spans="1:15" ht="13.5">
      <c r="A36" s="68" t="s">
        <v>173</v>
      </c>
      <c r="B36" s="88" t="s">
        <v>170</v>
      </c>
      <c r="C36" s="84">
        <f>C34+C35</f>
        <v>2805.8333333333335</v>
      </c>
      <c r="D36" s="88" t="s">
        <v>133</v>
      </c>
      <c r="I36" s="72"/>
      <c r="J36" s="72"/>
      <c r="K36" s="72"/>
      <c r="L36" s="72"/>
      <c r="M36" s="72"/>
      <c r="N36" s="72"/>
      <c r="O36" s="72"/>
    </row>
    <row r="37" spans="1:15" ht="13.5">
      <c r="A37" s="68" t="s">
        <v>174</v>
      </c>
      <c r="B37" s="87" t="s">
        <v>6</v>
      </c>
      <c r="C37" s="85">
        <v>400</v>
      </c>
      <c r="D37" s="88" t="s">
        <v>133</v>
      </c>
      <c r="I37" s="72"/>
      <c r="J37" s="72"/>
      <c r="K37" s="72"/>
      <c r="L37" s="72"/>
      <c r="M37" s="72"/>
      <c r="N37" s="72"/>
      <c r="O37" s="72"/>
    </row>
    <row r="38" spans="1:15" ht="13.5">
      <c r="A38" s="68" t="s">
        <v>175</v>
      </c>
      <c r="B38" s="87" t="s">
        <v>163</v>
      </c>
      <c r="C38" s="85">
        <v>0.5</v>
      </c>
      <c r="D38" s="88"/>
      <c r="I38" s="72"/>
      <c r="J38" s="72"/>
      <c r="K38" s="72"/>
      <c r="L38" s="72"/>
      <c r="M38" s="72"/>
      <c r="N38" s="72"/>
      <c r="O38" s="72"/>
    </row>
    <row r="39" spans="1:15" ht="13.5">
      <c r="A39" s="68" t="s">
        <v>176</v>
      </c>
      <c r="B39" s="87" t="s">
        <v>168</v>
      </c>
      <c r="C39" s="84">
        <f>C36+C37</f>
        <v>3205.8333333333335</v>
      </c>
      <c r="D39" s="88" t="s">
        <v>133</v>
      </c>
      <c r="I39" s="72"/>
      <c r="J39" s="72"/>
      <c r="K39" s="72"/>
      <c r="L39" s="72"/>
      <c r="M39" s="72"/>
      <c r="N39" s="72"/>
      <c r="O39" s="72"/>
    </row>
    <row r="40" spans="1:15" ht="13.5">
      <c r="A40" s="68" t="s">
        <v>185</v>
      </c>
      <c r="B40" s="87" t="s">
        <v>165</v>
      </c>
      <c r="C40" s="84">
        <f>C36+C38*C37</f>
        <v>3005.8333333333335</v>
      </c>
      <c r="D40" s="88" t="s">
        <v>133</v>
      </c>
      <c r="I40" s="72"/>
      <c r="J40" s="72"/>
      <c r="K40" s="72"/>
      <c r="L40" s="72"/>
      <c r="M40" s="72"/>
      <c r="N40" s="72"/>
      <c r="O40" s="72"/>
    </row>
    <row r="41" spans="1:15" ht="13.5">
      <c r="A41" s="68"/>
      <c r="B41" s="87"/>
      <c r="C41" s="84"/>
      <c r="D41" s="88"/>
      <c r="F41" s="74"/>
      <c r="G41" s="74"/>
      <c r="H41" s="74"/>
      <c r="I41" s="72"/>
      <c r="J41" s="72"/>
      <c r="K41" s="72"/>
      <c r="L41" s="72"/>
      <c r="M41" s="72"/>
      <c r="N41" s="72"/>
      <c r="O41" s="72"/>
    </row>
    <row r="42" spans="2:15" ht="13.5">
      <c r="B42" s="64"/>
      <c r="I42" s="72"/>
      <c r="J42" s="72"/>
      <c r="K42" s="72"/>
      <c r="L42" s="72"/>
      <c r="M42" s="72"/>
      <c r="N42" s="72"/>
      <c r="O42" s="72"/>
    </row>
    <row r="43" spans="1:5" ht="13.5">
      <c r="A43" s="253" t="s">
        <v>72</v>
      </c>
      <c r="B43" s="253"/>
      <c r="C43" s="89"/>
      <c r="D43" s="89"/>
      <c r="E43" s="65"/>
    </row>
    <row r="44" spans="1:4" ht="13.5">
      <c r="A44" s="68" t="s">
        <v>103</v>
      </c>
      <c r="B44" s="64" t="s">
        <v>90</v>
      </c>
      <c r="C44" s="85">
        <v>150</v>
      </c>
      <c r="D44" s="67" t="s">
        <v>92</v>
      </c>
    </row>
    <row r="45" spans="1:8" ht="13.5">
      <c r="A45" s="68" t="s">
        <v>104</v>
      </c>
      <c r="B45" s="64" t="s">
        <v>70</v>
      </c>
      <c r="C45" s="85">
        <v>3000</v>
      </c>
      <c r="D45" s="67" t="s">
        <v>91</v>
      </c>
      <c r="F45" s="64"/>
      <c r="G45" s="64"/>
      <c r="H45" s="64"/>
    </row>
    <row r="46" spans="1:8" ht="13.5">
      <c r="A46" s="68" t="s">
        <v>105</v>
      </c>
      <c r="B46" s="64" t="s">
        <v>87</v>
      </c>
      <c r="C46" s="75">
        <f>57000*C45^0.5</f>
        <v>3122018.577779447</v>
      </c>
      <c r="D46" s="67" t="s">
        <v>91</v>
      </c>
      <c r="F46" s="64"/>
      <c r="G46" s="64"/>
      <c r="H46" s="64"/>
    </row>
    <row r="47" spans="1:8" ht="13.5">
      <c r="A47" s="68" t="s">
        <v>106</v>
      </c>
      <c r="B47" s="64" t="s">
        <v>5</v>
      </c>
      <c r="C47" s="85">
        <v>60000</v>
      </c>
      <c r="D47" s="64" t="s">
        <v>91</v>
      </c>
      <c r="F47" s="64"/>
      <c r="G47" s="64"/>
      <c r="H47" s="64"/>
    </row>
    <row r="48" spans="1:8" ht="13.5">
      <c r="A48" s="68" t="s">
        <v>107</v>
      </c>
      <c r="B48" s="64" t="s">
        <v>93</v>
      </c>
      <c r="C48" s="85">
        <v>29000000</v>
      </c>
      <c r="D48" s="64" t="s">
        <v>91</v>
      </c>
      <c r="F48" s="64"/>
      <c r="G48" s="64"/>
      <c r="H48" s="64"/>
    </row>
    <row r="49" spans="1:8" ht="13.5">
      <c r="A49" s="68" t="s">
        <v>108</v>
      </c>
      <c r="B49" s="64" t="s">
        <v>95</v>
      </c>
      <c r="C49" s="75">
        <f>C48/C46</f>
        <v>9.28886208634492</v>
      </c>
      <c r="F49" s="64"/>
      <c r="G49" s="64"/>
      <c r="H49" s="64"/>
    </row>
    <row r="50" spans="1:8" ht="13.5">
      <c r="A50" s="250" t="s">
        <v>102</v>
      </c>
      <c r="B50" s="250"/>
      <c r="C50" s="250"/>
      <c r="D50" s="250"/>
      <c r="F50" s="64"/>
      <c r="G50" s="64"/>
      <c r="H50" s="64"/>
    </row>
    <row r="51" spans="1:8" ht="13.5">
      <c r="A51" s="64" t="s">
        <v>109</v>
      </c>
      <c r="B51" s="64" t="s">
        <v>101</v>
      </c>
      <c r="C51" s="85">
        <f>12*0.79</f>
        <v>9.48</v>
      </c>
      <c r="D51" s="64" t="s">
        <v>116</v>
      </c>
      <c r="F51" s="64"/>
      <c r="G51" s="64"/>
      <c r="H51" s="64"/>
    </row>
    <row r="52" spans="1:8" ht="13.5">
      <c r="A52" s="64"/>
      <c r="B52" s="64" t="s">
        <v>134</v>
      </c>
      <c r="C52" s="75">
        <f>C51/(C19*C31)</f>
        <v>0.009239766081871345</v>
      </c>
      <c r="D52" s="64"/>
      <c r="F52" s="64"/>
      <c r="G52" s="64"/>
      <c r="H52" s="64"/>
    </row>
    <row r="53" spans="1:4" ht="13.5">
      <c r="A53" s="68" t="s">
        <v>110</v>
      </c>
      <c r="B53" s="64" t="s">
        <v>111</v>
      </c>
      <c r="C53" s="85">
        <v>0.6</v>
      </c>
      <c r="D53" s="64" t="s">
        <v>116</v>
      </c>
    </row>
    <row r="54" spans="1:4" ht="13.5">
      <c r="A54" s="68"/>
      <c r="B54" s="64" t="s">
        <v>153</v>
      </c>
      <c r="C54" s="75">
        <f>C53/(C27*C31)</f>
        <v>0.0002631578947368421</v>
      </c>
      <c r="D54" s="64"/>
    </row>
    <row r="55" spans="1:4" ht="13.5">
      <c r="A55" s="68" t="s">
        <v>112</v>
      </c>
      <c r="B55" s="64" t="s">
        <v>113</v>
      </c>
      <c r="C55" s="85">
        <v>0.333</v>
      </c>
      <c r="D55" s="64" t="s">
        <v>116</v>
      </c>
    </row>
    <row r="56" spans="1:4" ht="13.5">
      <c r="A56" s="68" t="s">
        <v>114</v>
      </c>
      <c r="B56" s="64" t="s">
        <v>115</v>
      </c>
      <c r="C56" s="85">
        <v>0.33</v>
      </c>
      <c r="D56" s="64" t="s">
        <v>116</v>
      </c>
    </row>
    <row r="57" spans="1:3" ht="13.5">
      <c r="A57" s="68"/>
      <c r="B57" s="64"/>
      <c r="C57" s="75"/>
    </row>
    <row r="58" spans="1:3" ht="13.5">
      <c r="A58" s="64"/>
      <c r="B58" s="64"/>
      <c r="C58" s="75"/>
    </row>
    <row r="59" spans="1:4" ht="13.5">
      <c r="A59" s="250" t="s">
        <v>191</v>
      </c>
      <c r="B59" s="250"/>
      <c r="C59" s="250"/>
      <c r="D59" s="250"/>
    </row>
    <row r="60" spans="2:3" ht="13.5">
      <c r="B60" s="64" t="s">
        <v>117</v>
      </c>
      <c r="C60" s="75">
        <f>C19/(C49*C51)</f>
        <v>0.20440977157002058</v>
      </c>
    </row>
    <row r="61" spans="2:3" ht="13.5">
      <c r="B61" s="64" t="s">
        <v>118</v>
      </c>
      <c r="C61" s="75">
        <f>C28*(C27-C19)/(C49*C51)</f>
        <v>1.2491708262612369</v>
      </c>
    </row>
    <row r="62" spans="2:3" ht="13.5">
      <c r="B62" s="64" t="s">
        <v>119</v>
      </c>
      <c r="C62" s="75">
        <f>C29-0.5*((C27-C19)*C28^2+(C19*C29^2))/((C27-C19)*C28+(C19*C29))</f>
        <v>32.542016806722685</v>
      </c>
    </row>
    <row r="63" spans="2:4" ht="13.5">
      <c r="B63" s="64" t="s">
        <v>94</v>
      </c>
      <c r="C63" s="75">
        <f>(C27-C19)*C28^3/12+C19*C29^3/12+(C27-C19)*C28*(C29-C28/2-C62)^2+C19*C29*(C62-C29/2)^2</f>
        <v>399727.06582633057</v>
      </c>
      <c r="D63" t="s">
        <v>145</v>
      </c>
    </row>
    <row r="64" spans="1:3" ht="13.5">
      <c r="A64" s="64" t="s">
        <v>127</v>
      </c>
      <c r="B64" s="64" t="s">
        <v>126</v>
      </c>
      <c r="C64" s="75">
        <f>((C60*(2*C31+C28*C61)+(1+C61)^2)^0.5-(1+C61))/C60</f>
        <v>15.630009237356077</v>
      </c>
    </row>
    <row r="65" spans="2:4" ht="13.5">
      <c r="B65" s="64" t="s">
        <v>130</v>
      </c>
      <c r="C65" s="75">
        <f>(C27-C19)*C28^3/12+C19*C64^3/12+(C27-C19)*C28*(C64-C28/2)^2+C49*C51*(C31-C64)^2</f>
        <v>175630.27500108964</v>
      </c>
      <c r="D65" t="s">
        <v>145</v>
      </c>
    </row>
    <row r="66" spans="1:15" ht="13.5">
      <c r="A66" s="253" t="s">
        <v>135</v>
      </c>
      <c r="B66" s="253"/>
      <c r="C66" s="253"/>
      <c r="D66" s="253"/>
      <c r="F66" s="74"/>
      <c r="G66" s="74"/>
      <c r="H66" s="74"/>
      <c r="I66" s="72"/>
      <c r="J66" s="72"/>
      <c r="K66" s="72"/>
      <c r="L66" s="72"/>
      <c r="M66" s="72"/>
      <c r="N66" s="72"/>
      <c r="O66" s="72"/>
    </row>
    <row r="67" spans="1:15" ht="13.5">
      <c r="A67" s="68" t="s">
        <v>189</v>
      </c>
      <c r="B67" s="88" t="s">
        <v>136</v>
      </c>
      <c r="C67" s="74">
        <f>12/1000*C36*C21^2/8</f>
        <v>15918.544687500002</v>
      </c>
      <c r="D67" s="74" t="s">
        <v>137</v>
      </c>
      <c r="F67" s="74"/>
      <c r="G67" s="74"/>
      <c r="H67" s="74"/>
      <c r="I67" s="72"/>
      <c r="J67" s="72"/>
      <c r="K67" s="72"/>
      <c r="L67" s="72"/>
      <c r="M67" s="72"/>
      <c r="N67" s="72"/>
      <c r="O67" s="72"/>
    </row>
    <row r="68" spans="1:15" ht="13.5">
      <c r="A68" s="68" t="s">
        <v>182</v>
      </c>
      <c r="B68" s="88" t="s">
        <v>139</v>
      </c>
      <c r="C68" s="74">
        <f>12/1000*C39*C21^2/8</f>
        <v>18187.894687500004</v>
      </c>
      <c r="D68" s="74" t="s">
        <v>137</v>
      </c>
      <c r="F68" s="74"/>
      <c r="G68" s="74"/>
      <c r="H68" s="74"/>
      <c r="I68" s="72"/>
      <c r="J68" s="72"/>
      <c r="K68" s="72"/>
      <c r="L68" s="72"/>
      <c r="M68" s="72"/>
      <c r="N68" s="72"/>
      <c r="O68" s="72"/>
    </row>
    <row r="69" spans="1:15" ht="13.5">
      <c r="A69" s="68" t="s">
        <v>183</v>
      </c>
      <c r="B69" s="88" t="s">
        <v>138</v>
      </c>
      <c r="C69" s="74">
        <f>12/1000*C37*C21^2/8</f>
        <v>2269.35</v>
      </c>
      <c r="D69" s="74" t="s">
        <v>137</v>
      </c>
      <c r="F69" s="74"/>
      <c r="G69" s="74"/>
      <c r="H69" s="74"/>
      <c r="I69" s="72"/>
      <c r="J69" s="72"/>
      <c r="K69" s="72"/>
      <c r="L69" s="72"/>
      <c r="M69" s="72"/>
      <c r="N69" s="72"/>
      <c r="O69" s="72"/>
    </row>
    <row r="70" spans="1:15" ht="13.5">
      <c r="A70" s="68" t="s">
        <v>184</v>
      </c>
      <c r="B70" s="88" t="s">
        <v>164</v>
      </c>
      <c r="C70" s="74">
        <f>12/1000*C40*C21^2/8</f>
        <v>17053.2196875</v>
      </c>
      <c r="D70" s="74" t="s">
        <v>137</v>
      </c>
      <c r="F70" s="74"/>
      <c r="G70" s="74"/>
      <c r="H70" s="74"/>
      <c r="I70" s="72"/>
      <c r="J70" s="72"/>
      <c r="K70" s="72"/>
      <c r="L70" s="72"/>
      <c r="M70" s="72"/>
      <c r="N70" s="72"/>
      <c r="O70" s="72"/>
    </row>
    <row r="71" spans="1:15" ht="13.5">
      <c r="A71" s="68" t="s">
        <v>186</v>
      </c>
      <c r="B71" s="88" t="s">
        <v>144</v>
      </c>
      <c r="C71" s="74">
        <f>7.5*C45^0.5*C63/C62/1000</f>
        <v>5045.927210783785</v>
      </c>
      <c r="D71" s="74" t="s">
        <v>137</v>
      </c>
      <c r="I71" s="72"/>
      <c r="J71" s="72"/>
      <c r="K71" s="72"/>
      <c r="L71" s="72"/>
      <c r="M71" s="72"/>
      <c r="N71" s="72"/>
      <c r="O71" s="72"/>
    </row>
    <row r="72" spans="1:15" s="83" customFormat="1" ht="13.5">
      <c r="A72" s="87"/>
      <c r="B72" s="88"/>
      <c r="C72" s="74"/>
      <c r="D72" s="74"/>
      <c r="E72" s="84"/>
      <c r="I72" s="72"/>
      <c r="J72" s="72"/>
      <c r="K72" s="72"/>
      <c r="L72" s="72"/>
      <c r="M72" s="72"/>
      <c r="N72" s="72"/>
      <c r="O72" s="72"/>
    </row>
    <row r="73" spans="1:15" ht="13.5">
      <c r="A73" s="250" t="s">
        <v>146</v>
      </c>
      <c r="B73" s="250"/>
      <c r="C73" s="250"/>
      <c r="D73" s="250"/>
      <c r="I73" s="72"/>
      <c r="J73" s="72"/>
      <c r="K73" s="72"/>
      <c r="L73" s="72"/>
      <c r="M73" s="72"/>
      <c r="N73" s="72"/>
      <c r="O73" s="72"/>
    </row>
    <row r="74" spans="1:15" ht="13.5">
      <c r="A74" s="87" t="s">
        <v>187</v>
      </c>
      <c r="B74" s="88" t="s">
        <v>147</v>
      </c>
      <c r="C74" s="74">
        <f>(C71/C67)^3*C63+(1-(C71/C67)^3)*C65</f>
        <v>182767.814071748</v>
      </c>
      <c r="D74" s="87" t="s">
        <v>145</v>
      </c>
      <c r="I74" s="72"/>
      <c r="J74" s="72"/>
      <c r="K74" s="72"/>
      <c r="L74" s="72"/>
      <c r="M74" s="72"/>
      <c r="N74" s="72"/>
      <c r="O74" s="72"/>
    </row>
    <row r="75" spans="1:15" ht="13.5">
      <c r="A75" s="87" t="s">
        <v>188</v>
      </c>
      <c r="B75" s="88" t="s">
        <v>148</v>
      </c>
      <c r="C75" s="88">
        <f>(C71/C68)^3*C63+(1-(C71/C68)^3)*C65</f>
        <v>180415.59835018904</v>
      </c>
      <c r="D75" s="87" t="s">
        <v>145</v>
      </c>
      <c r="I75" s="72"/>
      <c r="J75" s="72"/>
      <c r="K75" s="72"/>
      <c r="L75" s="72"/>
      <c r="M75" s="72"/>
      <c r="N75" s="72"/>
      <c r="O75" s="72"/>
    </row>
    <row r="76" spans="1:15" ht="13.5">
      <c r="A76" s="68" t="s">
        <v>190</v>
      </c>
      <c r="B76" s="88" t="s">
        <v>166</v>
      </c>
      <c r="C76" s="88">
        <f>(C71/C70)^3*C63+(1-(C71/C70)^3)*C65</f>
        <v>181435.77221243287</v>
      </c>
      <c r="D76" s="88" t="s">
        <v>145</v>
      </c>
      <c r="I76" s="72"/>
      <c r="J76" s="72"/>
      <c r="K76" s="72"/>
      <c r="L76" s="72"/>
      <c r="M76" s="72"/>
      <c r="N76" s="72"/>
      <c r="O76" s="72"/>
    </row>
    <row r="79" spans="1:5" ht="13.5">
      <c r="A79" s="249" t="s">
        <v>75</v>
      </c>
      <c r="B79" s="249"/>
      <c r="C79" s="249"/>
      <c r="D79" s="249"/>
      <c r="E79" s="249"/>
    </row>
    <row r="80" spans="2:5" ht="13.5">
      <c r="B80" s="92" t="s">
        <v>84</v>
      </c>
      <c r="C80" s="91">
        <v>1</v>
      </c>
      <c r="D80" s="92"/>
      <c r="E80" s="84"/>
    </row>
    <row r="81" spans="1:4" ht="13.5">
      <c r="A81" t="s">
        <v>178</v>
      </c>
      <c r="B81" s="88" t="s">
        <v>149</v>
      </c>
      <c r="C81" s="84">
        <f>C80*(5/48)*(C67*1000)*(C21*12)^2/(C46*C74)</f>
        <v>1.5827402646317457</v>
      </c>
      <c r="D81" s="88" t="s">
        <v>15</v>
      </c>
    </row>
    <row r="82" spans="1:4" ht="13.5">
      <c r="A82" t="s">
        <v>179</v>
      </c>
      <c r="B82" s="88" t="s">
        <v>150</v>
      </c>
      <c r="C82" s="90">
        <f>C80*(5/48)*(C68*1000)*(C21*12)^2/(C46*C75)</f>
        <v>1.8319531184306768</v>
      </c>
      <c r="D82" s="88" t="s">
        <v>15</v>
      </c>
    </row>
    <row r="83" spans="1:4" ht="13.5">
      <c r="A83" t="s">
        <v>180</v>
      </c>
      <c r="B83" s="88" t="s">
        <v>151</v>
      </c>
      <c r="C83" s="84">
        <f>C82-C81</f>
        <v>0.2492128537989311</v>
      </c>
      <c r="D83" s="88" t="s">
        <v>15</v>
      </c>
    </row>
    <row r="84" spans="1:4" ht="13.5">
      <c r="A84" t="s">
        <v>181</v>
      </c>
      <c r="B84" s="88" t="s">
        <v>162</v>
      </c>
      <c r="C84" s="84">
        <f>C80*(5/48)*(C67*1000)*(C21*12)^2/(C46*C76)</f>
        <v>1.5943602239110242</v>
      </c>
      <c r="D84" s="88" t="s">
        <v>15</v>
      </c>
    </row>
    <row r="85" spans="2:4" ht="13.5">
      <c r="B85" s="83"/>
      <c r="C85" s="83"/>
      <c r="D85" s="83"/>
    </row>
    <row r="86" ht="13.5">
      <c r="E86" s="84"/>
    </row>
    <row r="87" spans="1:5" ht="13.5">
      <c r="A87" s="249" t="s">
        <v>152</v>
      </c>
      <c r="B87" s="249"/>
      <c r="C87" s="249"/>
      <c r="D87" s="249"/>
      <c r="E87" s="249"/>
    </row>
    <row r="88" ht="13.5">
      <c r="E88" s="84"/>
    </row>
    <row r="89" spans="1:5" ht="13.5">
      <c r="A89" s="78" t="s">
        <v>157</v>
      </c>
      <c r="B89" s="66" t="s">
        <v>158</v>
      </c>
      <c r="C89" s="66" t="s">
        <v>159</v>
      </c>
      <c r="D89" s="79" t="s">
        <v>160</v>
      </c>
      <c r="E89" s="66" t="s">
        <v>161</v>
      </c>
    </row>
    <row r="90" spans="1:5" ht="13.5">
      <c r="A90" s="80" t="s">
        <v>155</v>
      </c>
      <c r="B90">
        <v>1</v>
      </c>
      <c r="C90">
        <v>1.2</v>
      </c>
      <c r="D90" s="75">
        <v>1.4</v>
      </c>
      <c r="E90">
        <v>2</v>
      </c>
    </row>
    <row r="91" spans="1:5" ht="13.5">
      <c r="A91" s="80" t="s">
        <v>156</v>
      </c>
      <c r="B91" s="82">
        <f>B90/(1+50*C54)</f>
        <v>0.9870129870129871</v>
      </c>
      <c r="C91" s="82">
        <f>C90/(1+50*C54)</f>
        <v>1.1844155844155844</v>
      </c>
      <c r="D91" s="82">
        <f>D90/(1+50*C54)</f>
        <v>1.3818181818181818</v>
      </c>
      <c r="E91" s="82">
        <f>E90/(1+50*C54)</f>
        <v>1.9740259740259742</v>
      </c>
    </row>
    <row r="92" spans="1:5" ht="13.5">
      <c r="A92" s="77" t="s">
        <v>162</v>
      </c>
      <c r="B92" s="82">
        <f>C84</f>
        <v>1.5943602239110242</v>
      </c>
      <c r="C92" s="82">
        <f>C84</f>
        <v>1.5943602239110242</v>
      </c>
      <c r="D92" s="82">
        <f>C84</f>
        <v>1.5943602239110242</v>
      </c>
      <c r="E92" s="82">
        <f>C84</f>
        <v>1.5943602239110242</v>
      </c>
    </row>
    <row r="93" spans="1:5" ht="13.5">
      <c r="A93" s="77" t="s">
        <v>154</v>
      </c>
      <c r="B93" s="82">
        <f>B91*B92</f>
        <v>1.5736542469771149</v>
      </c>
      <c r="C93" s="82">
        <f>C91*C92</f>
        <v>1.8883850963725377</v>
      </c>
      <c r="D93" s="82">
        <f>D91*D92</f>
        <v>2.2031159457679608</v>
      </c>
      <c r="E93" s="82">
        <f>E91*E92</f>
        <v>3.1473084939542297</v>
      </c>
    </row>
    <row r="94" spans="1:5" ht="13.5">
      <c r="A94" s="77" t="s">
        <v>151</v>
      </c>
      <c r="B94" s="75">
        <f>C83</f>
        <v>0.2492128537989311</v>
      </c>
      <c r="C94" s="75">
        <f>C83</f>
        <v>0.2492128537989311</v>
      </c>
      <c r="D94" s="75">
        <f>C83</f>
        <v>0.2492128537989311</v>
      </c>
      <c r="E94" s="75">
        <f>C83</f>
        <v>0.2492128537989311</v>
      </c>
    </row>
    <row r="95" spans="1:5" ht="13.5">
      <c r="A95" s="77" t="s">
        <v>177</v>
      </c>
      <c r="B95" s="75">
        <f>B94+B93</f>
        <v>1.822867100776046</v>
      </c>
      <c r="C95" s="75">
        <f>C94+C93</f>
        <v>2.137597950171469</v>
      </c>
      <c r="D95" s="75">
        <f>D94+D93</f>
        <v>2.452328799566892</v>
      </c>
      <c r="E95" s="75">
        <f>E94+E93</f>
        <v>3.396521347753161</v>
      </c>
    </row>
  </sheetData>
  <sheetProtection/>
  <mergeCells count="21">
    <mergeCell ref="A13:D13"/>
    <mergeCell ref="A1:D1"/>
    <mergeCell ref="A43:B43"/>
    <mergeCell ref="A33:D33"/>
    <mergeCell ref="G9:N9"/>
    <mergeCell ref="G6:N6"/>
    <mergeCell ref="G5:N5"/>
    <mergeCell ref="G10:N10"/>
    <mergeCell ref="G11:N11"/>
    <mergeCell ref="F4:O4"/>
    <mergeCell ref="A2:A5"/>
    <mergeCell ref="A87:E87"/>
    <mergeCell ref="A79:E79"/>
    <mergeCell ref="A73:D73"/>
    <mergeCell ref="A50:D50"/>
    <mergeCell ref="A12:D12"/>
    <mergeCell ref="G7:N7"/>
    <mergeCell ref="A66:D66"/>
    <mergeCell ref="A59:D59"/>
    <mergeCell ref="F14:O14"/>
    <mergeCell ref="G8:N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N199"/>
  <sheetViews>
    <sheetView zoomScalePageLayoutView="0" workbookViewId="0" topLeftCell="F1">
      <selection activeCell="I20" sqref="I20"/>
    </sheetView>
  </sheetViews>
  <sheetFormatPr defaultColWidth="9.00390625" defaultRowHeight="19.5" customHeight="1"/>
  <cols>
    <col min="1" max="1" width="9.00390625" style="114" customWidth="1"/>
    <col min="2" max="3" width="11.125" style="115" customWidth="1"/>
    <col min="4" max="9" width="11.125" style="114" customWidth="1"/>
    <col min="10" max="15" width="9.00390625" style="114" customWidth="1"/>
    <col min="16" max="16" width="21.875" style="114" bestFit="1" customWidth="1"/>
    <col min="17" max="16384" width="9.00390625" style="114" customWidth="1"/>
  </cols>
  <sheetData>
    <row r="1" ht="19.5" customHeight="1">
      <c r="A1" s="114" t="s">
        <v>259</v>
      </c>
    </row>
    <row r="2" spans="2:14" ht="19.5" customHeight="1">
      <c r="B2" s="116" t="s">
        <v>260</v>
      </c>
      <c r="C2" s="117"/>
      <c r="D2" s="117"/>
      <c r="E2" s="117"/>
      <c r="F2" s="117"/>
      <c r="G2" s="117"/>
      <c r="H2" s="117"/>
      <c r="I2" s="117"/>
      <c r="M2" s="118" t="s">
        <v>261</v>
      </c>
      <c r="N2" s="118" t="s">
        <v>245</v>
      </c>
    </row>
    <row r="3" spans="2:14" ht="19.5" customHeight="1">
      <c r="B3" s="114"/>
      <c r="C3" s="114"/>
      <c r="M3" s="118">
        <v>3</v>
      </c>
      <c r="N3" s="118">
        <v>0.11</v>
      </c>
    </row>
    <row r="4" spans="2:14" ht="19.5" customHeight="1">
      <c r="B4" s="115" t="s">
        <v>262</v>
      </c>
      <c r="D4" s="114" t="s">
        <v>263</v>
      </c>
      <c r="E4" s="119">
        <v>220</v>
      </c>
      <c r="F4" s="114" t="s">
        <v>205</v>
      </c>
      <c r="G4" s="120" t="s">
        <v>264</v>
      </c>
      <c r="H4" s="121" t="s">
        <v>263</v>
      </c>
      <c r="I4" s="122">
        <v>0.7</v>
      </c>
      <c r="M4" s="118">
        <v>5</v>
      </c>
      <c r="N4" s="118">
        <v>0.31</v>
      </c>
    </row>
    <row r="5" spans="2:14" ht="19.5" customHeight="1">
      <c r="B5" s="115" t="s">
        <v>265</v>
      </c>
      <c r="D5" s="114" t="s">
        <v>263</v>
      </c>
      <c r="E5" s="119">
        <v>548</v>
      </c>
      <c r="F5" s="114" t="s">
        <v>266</v>
      </c>
      <c r="G5" s="123" t="s">
        <v>267</v>
      </c>
      <c r="H5" s="124" t="s">
        <v>263</v>
      </c>
      <c r="I5" s="125">
        <v>0.9</v>
      </c>
      <c r="M5" s="118">
        <v>6</v>
      </c>
      <c r="N5" s="118">
        <v>0.44</v>
      </c>
    </row>
    <row r="6" spans="2:14" ht="19.5" customHeight="1">
      <c r="B6" s="115" t="s">
        <v>268</v>
      </c>
      <c r="D6" s="114" t="s">
        <v>263</v>
      </c>
      <c r="E6" s="119">
        <v>3.5</v>
      </c>
      <c r="F6" s="114" t="s">
        <v>14</v>
      </c>
      <c r="G6" s="126" t="s">
        <v>269</v>
      </c>
      <c r="H6" s="127" t="s">
        <v>263</v>
      </c>
      <c r="I6" s="128">
        <v>0.8</v>
      </c>
      <c r="M6" s="118">
        <v>7</v>
      </c>
      <c r="N6" s="129">
        <v>0.6</v>
      </c>
    </row>
    <row r="7" spans="2:14" ht="19.5" customHeight="1">
      <c r="B7" s="115" t="s">
        <v>270</v>
      </c>
      <c r="D7" s="114" t="s">
        <v>263</v>
      </c>
      <c r="E7" s="119">
        <v>60</v>
      </c>
      <c r="F7" s="114" t="s">
        <v>14</v>
      </c>
      <c r="G7" s="130" t="s">
        <v>271</v>
      </c>
      <c r="M7" s="118">
        <v>8</v>
      </c>
      <c r="N7" s="118">
        <v>0.79</v>
      </c>
    </row>
    <row r="8" spans="2:14" ht="19.5" customHeight="1">
      <c r="B8" s="115" t="s">
        <v>272</v>
      </c>
      <c r="D8" s="114" t="s">
        <v>263</v>
      </c>
      <c r="E8" s="119">
        <v>13</v>
      </c>
      <c r="F8" s="114" t="s">
        <v>273</v>
      </c>
      <c r="G8" s="120" t="s">
        <v>274</v>
      </c>
      <c r="H8" s="121" t="s">
        <v>263</v>
      </c>
      <c r="I8" s="131">
        <v>533.8326416015625</v>
      </c>
      <c r="J8" s="132">
        <f>I8</f>
        <v>533.8326416015625</v>
      </c>
      <c r="M8" s="118">
        <v>9</v>
      </c>
      <c r="N8" s="118">
        <v>1</v>
      </c>
    </row>
    <row r="9" spans="2:14" ht="19.5" customHeight="1">
      <c r="B9" s="115" t="s">
        <v>275</v>
      </c>
      <c r="D9" s="114" t="s">
        <v>263</v>
      </c>
      <c r="E9" s="119">
        <v>13</v>
      </c>
      <c r="F9" s="114" t="s">
        <v>273</v>
      </c>
      <c r="G9" s="126" t="s">
        <v>276</v>
      </c>
      <c r="H9" s="127" t="s">
        <v>263</v>
      </c>
      <c r="I9" s="133">
        <v>601.0466918945312</v>
      </c>
      <c r="J9" s="134">
        <v>0</v>
      </c>
      <c r="M9" s="118">
        <v>10</v>
      </c>
      <c r="N9" s="118">
        <v>1.27</v>
      </c>
    </row>
    <row r="10" spans="2:14" ht="19.5" customHeight="1">
      <c r="B10" s="115" t="s">
        <v>277</v>
      </c>
      <c r="D10" s="114" t="s">
        <v>263</v>
      </c>
      <c r="E10" s="135">
        <v>0.5</v>
      </c>
      <c r="F10" s="114" t="s">
        <v>15</v>
      </c>
      <c r="M10" s="118">
        <v>11</v>
      </c>
      <c r="N10" s="118">
        <v>1.56</v>
      </c>
    </row>
    <row r="11" spans="2:14" ht="19.5" customHeight="1">
      <c r="B11" s="115" t="s">
        <v>278</v>
      </c>
      <c r="D11" s="114" t="s">
        <v>263</v>
      </c>
      <c r="E11" s="136">
        <f>6/8</f>
        <v>0.75</v>
      </c>
      <c r="F11" s="114" t="s">
        <v>15</v>
      </c>
      <c r="G11" s="120" t="s">
        <v>279</v>
      </c>
      <c r="H11" s="121" t="s">
        <v>263</v>
      </c>
      <c r="I11" s="132">
        <v>1746.757568359375</v>
      </c>
      <c r="M11" s="118">
        <v>14</v>
      </c>
      <c r="N11" s="118">
        <v>2.25</v>
      </c>
    </row>
    <row r="12" spans="2:14" ht="19.5" customHeight="1">
      <c r="B12" s="115" t="s">
        <v>280</v>
      </c>
      <c r="D12" s="114" t="s">
        <v>263</v>
      </c>
      <c r="E12" s="136">
        <v>1.5</v>
      </c>
      <c r="F12" s="114" t="s">
        <v>15</v>
      </c>
      <c r="G12" s="123" t="s">
        <v>281</v>
      </c>
      <c r="H12" s="124" t="s">
        <v>263</v>
      </c>
      <c r="I12" s="137">
        <v>1595.3309326171875</v>
      </c>
      <c r="M12" s="118">
        <v>18</v>
      </c>
      <c r="N12" s="118">
        <v>4</v>
      </c>
    </row>
    <row r="13" spans="2:9" ht="19.5" customHeight="1">
      <c r="B13" s="115" t="s">
        <v>282</v>
      </c>
      <c r="D13" s="114" t="s">
        <v>263</v>
      </c>
      <c r="E13" s="136">
        <v>3</v>
      </c>
      <c r="F13" s="114" t="s">
        <v>283</v>
      </c>
      <c r="G13" s="126" t="s">
        <v>284</v>
      </c>
      <c r="H13" s="127" t="s">
        <v>263</v>
      </c>
      <c r="I13" s="134">
        <v>128.50355529785156</v>
      </c>
    </row>
    <row r="14" spans="2:13" s="138" customFormat="1" ht="19.5" customHeight="1">
      <c r="B14" s="115" t="s">
        <v>285</v>
      </c>
      <c r="C14" s="115"/>
      <c r="D14" s="114" t="s">
        <v>263</v>
      </c>
      <c r="E14" s="119">
        <v>0.003</v>
      </c>
      <c r="F14" s="114" t="s">
        <v>286</v>
      </c>
      <c r="G14" s="114"/>
      <c r="H14" s="114"/>
      <c r="I14" s="114"/>
      <c r="J14" s="114"/>
      <c r="K14" s="114"/>
      <c r="L14" s="114"/>
      <c r="M14" s="114"/>
    </row>
    <row r="15" spans="2:3" ht="19.5" customHeight="1" thickBot="1">
      <c r="B15" s="139" t="s">
        <v>287</v>
      </c>
      <c r="C15" s="114"/>
    </row>
    <row r="16" spans="2:12" ht="30" customHeight="1" thickBot="1">
      <c r="B16" s="140" t="s">
        <v>288</v>
      </c>
      <c r="C16" s="141" t="s">
        <v>289</v>
      </c>
      <c r="D16" s="141" t="s">
        <v>290</v>
      </c>
      <c r="E16" s="142" t="s">
        <v>291</v>
      </c>
      <c r="F16" s="143"/>
      <c r="G16" s="144"/>
      <c r="H16" s="145"/>
      <c r="I16" s="145"/>
      <c r="J16" s="145"/>
      <c r="K16" s="145"/>
      <c r="L16" s="145"/>
    </row>
    <row r="17" spans="2:12" ht="19.5" customHeight="1">
      <c r="B17" s="146">
        <v>1</v>
      </c>
      <c r="C17" s="147">
        <v>4</v>
      </c>
      <c r="D17" s="147">
        <v>8</v>
      </c>
      <c r="E17" s="148">
        <f aca="true" t="shared" si="0" ref="E17:E26">IF(D17&gt;0,VLOOKUP(D17,$M$3:$N$12,2,FALSE),0)</f>
        <v>0.79</v>
      </c>
      <c r="F17" s="149"/>
      <c r="G17" s="150"/>
      <c r="H17" s="145"/>
      <c r="I17" s="145"/>
      <c r="J17" s="145"/>
      <c r="K17" s="145"/>
      <c r="L17" s="145"/>
    </row>
    <row r="18" spans="2:12" ht="19.5" customHeight="1">
      <c r="B18" s="151">
        <v>2</v>
      </c>
      <c r="C18" s="152">
        <v>2</v>
      </c>
      <c r="D18" s="152">
        <v>8</v>
      </c>
      <c r="E18" s="153">
        <f t="shared" si="0"/>
        <v>0.79</v>
      </c>
      <c r="F18" s="149"/>
      <c r="G18" s="150"/>
      <c r="H18" s="145"/>
      <c r="I18" s="145"/>
      <c r="J18" s="145"/>
      <c r="K18" s="145"/>
      <c r="L18" s="145"/>
    </row>
    <row r="19" spans="2:12" ht="19.5" customHeight="1">
      <c r="B19" s="151">
        <v>3</v>
      </c>
      <c r="C19" s="152">
        <v>4</v>
      </c>
      <c r="D19" s="152">
        <v>8</v>
      </c>
      <c r="E19" s="153">
        <f t="shared" si="0"/>
        <v>0.79</v>
      </c>
      <c r="F19" s="149"/>
      <c r="G19" s="150"/>
      <c r="H19" s="145"/>
      <c r="I19" s="145"/>
      <c r="J19" s="145"/>
      <c r="K19" s="145"/>
      <c r="L19" s="145"/>
    </row>
    <row r="20" spans="2:12" ht="19.5" customHeight="1">
      <c r="B20" s="151">
        <v>4</v>
      </c>
      <c r="C20" s="152"/>
      <c r="D20" s="152"/>
      <c r="E20" s="153">
        <f t="shared" si="0"/>
        <v>0</v>
      </c>
      <c r="F20" s="149"/>
      <c r="G20" s="150"/>
      <c r="H20" s="145"/>
      <c r="I20" s="145"/>
      <c r="J20" s="145"/>
      <c r="K20" s="145"/>
      <c r="L20" s="145"/>
    </row>
    <row r="21" spans="2:12" ht="19.5" customHeight="1">
      <c r="B21" s="151">
        <v>5</v>
      </c>
      <c r="C21" s="152"/>
      <c r="D21" s="152"/>
      <c r="E21" s="153">
        <f t="shared" si="0"/>
        <v>0</v>
      </c>
      <c r="F21" s="149"/>
      <c r="G21" s="150"/>
      <c r="H21" s="145"/>
      <c r="I21" s="145"/>
      <c r="J21" s="145"/>
      <c r="K21" s="145"/>
      <c r="L21" s="145"/>
    </row>
    <row r="22" spans="2:12" ht="19.5" customHeight="1">
      <c r="B22" s="151">
        <v>6</v>
      </c>
      <c r="C22" s="152"/>
      <c r="D22" s="152"/>
      <c r="E22" s="153">
        <f t="shared" si="0"/>
        <v>0</v>
      </c>
      <c r="F22" s="149"/>
      <c r="G22" s="150"/>
      <c r="H22" s="145"/>
      <c r="I22" s="145"/>
      <c r="J22" s="145"/>
      <c r="K22" s="145"/>
      <c r="L22" s="145"/>
    </row>
    <row r="23" spans="2:12" ht="19.5" customHeight="1">
      <c r="B23" s="151">
        <v>7</v>
      </c>
      <c r="C23" s="152"/>
      <c r="D23" s="152"/>
      <c r="E23" s="153">
        <f t="shared" si="0"/>
        <v>0</v>
      </c>
      <c r="F23" s="149"/>
      <c r="G23" s="150"/>
      <c r="H23" s="145"/>
      <c r="I23" s="145"/>
      <c r="J23" s="145"/>
      <c r="K23" s="145"/>
      <c r="L23" s="145"/>
    </row>
    <row r="24" spans="2:12" ht="19.5" customHeight="1">
      <c r="B24" s="151">
        <v>8</v>
      </c>
      <c r="C24" s="152"/>
      <c r="D24" s="152"/>
      <c r="E24" s="153">
        <f t="shared" si="0"/>
        <v>0</v>
      </c>
      <c r="F24" s="149"/>
      <c r="G24" s="150"/>
      <c r="H24" s="145"/>
      <c r="I24" s="145"/>
      <c r="J24" s="145"/>
      <c r="K24" s="145"/>
      <c r="L24" s="145"/>
    </row>
    <row r="25" spans="2:12" ht="19.5" customHeight="1">
      <c r="B25" s="151">
        <v>9</v>
      </c>
      <c r="C25" s="152"/>
      <c r="D25" s="152"/>
      <c r="E25" s="153">
        <f t="shared" si="0"/>
        <v>0</v>
      </c>
      <c r="F25" s="149"/>
      <c r="G25" s="150"/>
      <c r="H25" s="145"/>
      <c r="I25" s="145"/>
      <c r="J25" s="145"/>
      <c r="K25" s="145"/>
      <c r="L25" s="145"/>
    </row>
    <row r="26" spans="2:12" ht="19.5" customHeight="1" thickBot="1">
      <c r="B26" s="154">
        <v>10</v>
      </c>
      <c r="C26" s="155"/>
      <c r="D26" s="155"/>
      <c r="E26" s="156">
        <f t="shared" si="0"/>
        <v>0</v>
      </c>
      <c r="F26" s="149"/>
      <c r="G26" s="150"/>
      <c r="H26" s="145"/>
      <c r="I26" s="145"/>
      <c r="J26" s="145"/>
      <c r="K26" s="145"/>
      <c r="L26" s="145"/>
    </row>
    <row r="27" spans="2:12" ht="19.5" customHeight="1">
      <c r="B27" s="114"/>
      <c r="C27" s="114"/>
      <c r="E27" s="157"/>
      <c r="F27" s="150"/>
      <c r="G27" s="150"/>
      <c r="H27" s="145"/>
      <c r="I27" s="145"/>
      <c r="J27" s="145"/>
      <c r="K27" s="145"/>
      <c r="L27" s="145"/>
    </row>
    <row r="28" spans="6:12" ht="48" customHeight="1">
      <c r="F28" s="145"/>
      <c r="G28" s="145"/>
      <c r="H28" s="145"/>
      <c r="I28" s="145"/>
      <c r="J28" s="145"/>
      <c r="K28" s="145"/>
      <c r="L28" s="145"/>
    </row>
    <row r="29" spans="2:9" ht="19.5" customHeight="1">
      <c r="B29" s="118" t="s">
        <v>117</v>
      </c>
      <c r="C29" s="118" t="s">
        <v>292</v>
      </c>
      <c r="D29" s="118" t="s">
        <v>293</v>
      </c>
      <c r="E29" s="158" t="s">
        <v>294</v>
      </c>
      <c r="F29" s="158" t="s">
        <v>295</v>
      </c>
      <c r="G29" s="158" t="s">
        <v>276</v>
      </c>
      <c r="I29" s="114">
        <f>122.6*2.95/2+70.7*2.5-63.2*13.5/2-126.4*11</f>
        <v>-1459.415</v>
      </c>
    </row>
    <row r="30" spans="2:11" ht="19.5" customHeight="1">
      <c r="B30" s="159">
        <v>4.260873794555664</v>
      </c>
      <c r="C30" s="159">
        <v>0</v>
      </c>
      <c r="D30" s="159">
        <v>1940.841796875</v>
      </c>
      <c r="E30" s="159">
        <v>0.8999999761581421</v>
      </c>
      <c r="F30" s="159">
        <v>0</v>
      </c>
      <c r="G30" s="159">
        <v>1746.757568359375</v>
      </c>
      <c r="K30" s="114">
        <f>0.85*3.47</f>
        <v>2.9495</v>
      </c>
    </row>
    <row r="31" spans="2:11" ht="19.5" customHeight="1">
      <c r="B31" s="159">
        <v>4.360873699188232</v>
      </c>
      <c r="C31" s="159">
        <v>11.524688720703125</v>
      </c>
      <c r="D31" s="159">
        <v>1964.6590576171875</v>
      </c>
      <c r="E31" s="159">
        <v>0.8727226257324219</v>
      </c>
      <c r="F31" s="159">
        <v>10.057856559753418</v>
      </c>
      <c r="G31" s="159">
        <v>1714.6024169921875</v>
      </c>
      <c r="I31" s="114">
        <f>3.47-2.5</f>
        <v>0.9700000000000002</v>
      </c>
      <c r="K31" s="114">
        <f>0.85*3*K30*15</f>
        <v>112.81837499999999</v>
      </c>
    </row>
    <row r="32" spans="2:9" ht="19.5" customHeight="1">
      <c r="B32" s="159">
        <v>4.460873603820801</v>
      </c>
      <c r="C32" s="159">
        <v>22.76148223876953</v>
      </c>
      <c r="D32" s="159">
        <v>1987.5469970703125</v>
      </c>
      <c r="E32" s="159">
        <v>0.8461266756057739</v>
      </c>
      <c r="F32" s="159">
        <v>19.259098052978516</v>
      </c>
      <c r="G32" s="159">
        <v>1681.716552734375</v>
      </c>
      <c r="I32" s="114">
        <f>13.5/2-3.47</f>
        <v>3.28</v>
      </c>
    </row>
    <row r="33" spans="2:9" ht="19.5" customHeight="1">
      <c r="B33" s="159">
        <v>4.560873508453369</v>
      </c>
      <c r="C33" s="159">
        <v>33.64966583251953</v>
      </c>
      <c r="D33" s="159">
        <v>2009.5484619140625</v>
      </c>
      <c r="E33" s="159">
        <v>0.8203557729721069</v>
      </c>
      <c r="F33" s="159">
        <v>27.604698181152344</v>
      </c>
      <c r="G33" s="159">
        <v>1648.544677734375</v>
      </c>
      <c r="I33" s="114">
        <f>13.5-2.5-3.77</f>
        <v>7.23</v>
      </c>
    </row>
    <row r="34" spans="2:11" ht="19.5" customHeight="1">
      <c r="B34" s="159">
        <v>4.6608734130859375</v>
      </c>
      <c r="C34" s="159">
        <v>44.21171569824219</v>
      </c>
      <c r="D34" s="159">
        <v>2030.7025146484375</v>
      </c>
      <c r="E34" s="159">
        <v>0.7953568696975708</v>
      </c>
      <c r="F34" s="159">
        <v>35.164093017578125</v>
      </c>
      <c r="G34" s="159">
        <v>1615.1331787109375</v>
      </c>
      <c r="I34" s="114">
        <f>0.003/3.77*0.97</f>
        <v>0.0007718832891246684</v>
      </c>
      <c r="J34" s="114">
        <f>+I34*29000</f>
        <v>22.384615384615383</v>
      </c>
      <c r="K34" s="114">
        <f>+J34*4*0.79</f>
        <v>70.73538461538462</v>
      </c>
    </row>
    <row r="35" spans="2:11" ht="19.5" customHeight="1">
      <c r="B35" s="159">
        <v>4.760873317718506</v>
      </c>
      <c r="C35" s="159">
        <v>54.468162536621094</v>
      </c>
      <c r="D35" s="159">
        <v>2051.044677734375</v>
      </c>
      <c r="E35" s="159">
        <v>0.771081268787384</v>
      </c>
      <c r="F35" s="159">
        <v>41.9993782043457</v>
      </c>
      <c r="G35" s="159">
        <v>1581.5220947265625</v>
      </c>
      <c r="I35" s="114">
        <f>0.003/3.77*3.28</f>
        <v>0.0026100795755968167</v>
      </c>
      <c r="J35" s="114">
        <f>+I35*29000</f>
        <v>75.69230769230768</v>
      </c>
      <c r="K35" s="114">
        <f>40*2*0.79</f>
        <v>63.2</v>
      </c>
    </row>
    <row r="36" spans="2:11" ht="19.5" customHeight="1">
      <c r="B36" s="159">
        <v>4.860873222351074</v>
      </c>
      <c r="C36" s="159">
        <v>64.4378433227539</v>
      </c>
      <c r="D36" s="159">
        <v>2070.608154296875</v>
      </c>
      <c r="E36" s="159">
        <v>0.7474843859672546</v>
      </c>
      <c r="F36" s="159">
        <v>48.166282653808594</v>
      </c>
      <c r="G36" s="159">
        <v>1547.747314453125</v>
      </c>
      <c r="I36" s="114">
        <f>0.003/3.77*7.23</f>
        <v>0.0057533156498673745</v>
      </c>
      <c r="J36" s="114">
        <f>+I36*29000</f>
        <v>166.84615384615387</v>
      </c>
      <c r="K36" s="114">
        <f>40*4*0.79</f>
        <v>126.4</v>
      </c>
    </row>
    <row r="37" spans="2:11" ht="19.5" customHeight="1">
      <c r="B37" s="159">
        <v>4.960873126983643</v>
      </c>
      <c r="C37" s="159">
        <v>74.13815307617188</v>
      </c>
      <c r="D37" s="159">
        <v>2089.4228515625</v>
      </c>
      <c r="E37" s="159">
        <v>0.7245250940322876</v>
      </c>
      <c r="F37" s="159">
        <v>53.71495056152344</v>
      </c>
      <c r="G37" s="159">
        <v>1513.8392333984375</v>
      </c>
      <c r="K37" s="114">
        <f>+K36+K35-K34-K31</f>
        <v>6.046240384615416</v>
      </c>
    </row>
    <row r="38" spans="2:7" ht="19.5" customHeight="1">
      <c r="B38" s="159">
        <v>5.060873031616211</v>
      </c>
      <c r="C38" s="159">
        <v>83.58500671386719</v>
      </c>
      <c r="D38" s="159">
        <v>2107.516845703125</v>
      </c>
      <c r="E38" s="159">
        <v>0.7021656632423401</v>
      </c>
      <c r="F38" s="159">
        <v>58.690521240234375</v>
      </c>
      <c r="G38" s="159">
        <v>1479.825927734375</v>
      </c>
    </row>
    <row r="39" spans="2:7" ht="19.5" customHeight="1">
      <c r="B39" s="159">
        <v>5.160872936248779</v>
      </c>
      <c r="C39" s="159">
        <v>92.79315948486328</v>
      </c>
      <c r="D39" s="159">
        <v>2124.915771484375</v>
      </c>
      <c r="E39" s="159">
        <v>0.699999988079071</v>
      </c>
      <c r="F39" s="159">
        <v>64.95520782470703</v>
      </c>
      <c r="G39" s="159">
        <v>1487.4410400390625</v>
      </c>
    </row>
    <row r="40" spans="2:7" ht="19.5" customHeight="1">
      <c r="B40" s="159">
        <v>5.260872840881348</v>
      </c>
      <c r="C40" s="159">
        <v>101.77625274658203</v>
      </c>
      <c r="D40" s="159">
        <v>2141.64306640625</v>
      </c>
      <c r="E40" s="159">
        <v>0.699999988079071</v>
      </c>
      <c r="F40" s="159">
        <v>71.24337768554688</v>
      </c>
      <c r="G40" s="159">
        <v>1499.150146484375</v>
      </c>
    </row>
    <row r="41" spans="2:7" ht="19.5" customHeight="1">
      <c r="B41" s="159">
        <v>5.360872745513916</v>
      </c>
      <c r="C41" s="159">
        <v>110.54684448242188</v>
      </c>
      <c r="D41" s="159">
        <v>2157.720947265625</v>
      </c>
      <c r="E41" s="159">
        <v>0.699999988079071</v>
      </c>
      <c r="F41" s="159">
        <v>77.3827896118164</v>
      </c>
      <c r="G41" s="159">
        <v>1510.4046630859375</v>
      </c>
    </row>
    <row r="42" spans="2:7" ht="19.5" customHeight="1">
      <c r="B42" s="159">
        <v>5.460872650146484</v>
      </c>
      <c r="C42" s="159">
        <v>119.11659240722656</v>
      </c>
      <c r="D42" s="159">
        <v>2173.169677734375</v>
      </c>
      <c r="E42" s="159">
        <v>0.699999988079071</v>
      </c>
      <c r="F42" s="159">
        <v>83.3816146850586</v>
      </c>
      <c r="G42" s="159">
        <v>1521.21875</v>
      </c>
    </row>
    <row r="43" spans="2:7" ht="19.5" customHeight="1">
      <c r="B43" s="159">
        <v>5.560872554779053</v>
      </c>
      <c r="C43" s="159">
        <v>127.49636840820312</v>
      </c>
      <c r="D43" s="159">
        <v>2188.008056640625</v>
      </c>
      <c r="E43" s="159">
        <v>0.699999988079071</v>
      </c>
      <c r="F43" s="159">
        <v>89.2474594116211</v>
      </c>
      <c r="G43" s="159">
        <v>1531.6055908203125</v>
      </c>
    </row>
    <row r="44" spans="2:7" ht="19.5" customHeight="1">
      <c r="B44" s="159">
        <v>5.660872459411621</v>
      </c>
      <c r="C44" s="159">
        <v>135.69625854492188</v>
      </c>
      <c r="D44" s="159">
        <v>2202.253662109375</v>
      </c>
      <c r="E44" s="159">
        <v>0.699999988079071</v>
      </c>
      <c r="F44" s="159">
        <v>94.98738098144531</v>
      </c>
      <c r="G44" s="159">
        <v>1541.5775146484375</v>
      </c>
    </row>
    <row r="45" spans="2:7" ht="19.5" customHeight="1">
      <c r="B45" s="159">
        <v>5.7608723640441895</v>
      </c>
      <c r="C45" s="159">
        <v>143.72557067871094</v>
      </c>
      <c r="D45" s="159">
        <v>2215.922607421875</v>
      </c>
      <c r="E45" s="159">
        <v>0.699999988079071</v>
      </c>
      <c r="F45" s="159">
        <v>100.60789489746094</v>
      </c>
      <c r="G45" s="159">
        <v>1551.145751953125</v>
      </c>
    </row>
    <row r="46" spans="2:7" ht="19.5" customHeight="1">
      <c r="B46" s="159">
        <v>5.860872268676758</v>
      </c>
      <c r="C46" s="159">
        <v>151.59307861328125</v>
      </c>
      <c r="D46" s="159">
        <v>2229.030517578125</v>
      </c>
      <c r="E46" s="159">
        <v>0.699999988079071</v>
      </c>
      <c r="F46" s="159">
        <v>106.11515045166016</v>
      </c>
      <c r="G46" s="159">
        <v>1560.3212890625</v>
      </c>
    </row>
    <row r="47" spans="2:7" ht="19.5" customHeight="1">
      <c r="B47" s="159">
        <v>5.960872173309326</v>
      </c>
      <c r="C47" s="159">
        <v>159.30690002441406</v>
      </c>
      <c r="D47" s="159">
        <v>2241.59130859375</v>
      </c>
      <c r="E47" s="159">
        <v>0.699999988079071</v>
      </c>
      <c r="F47" s="159">
        <v>111.51483154296875</v>
      </c>
      <c r="G47" s="159">
        <v>1569.1138916015625</v>
      </c>
    </row>
    <row r="48" spans="2:7" ht="19.5" customHeight="1">
      <c r="B48" s="159">
        <v>6.0608720779418945</v>
      </c>
      <c r="C48" s="159">
        <v>166.8746795654297</v>
      </c>
      <c r="D48" s="159">
        <v>2253.618408203125</v>
      </c>
      <c r="E48" s="159">
        <v>0.699999988079071</v>
      </c>
      <c r="F48" s="159">
        <v>116.81227111816406</v>
      </c>
      <c r="G48" s="159">
        <v>1577.5328369140625</v>
      </c>
    </row>
    <row r="49" spans="2:7" ht="19.5" customHeight="1">
      <c r="B49" s="159">
        <v>6.160871982574463</v>
      </c>
      <c r="C49" s="159">
        <v>174.30348205566406</v>
      </c>
      <c r="D49" s="159">
        <v>2265.123779296875</v>
      </c>
      <c r="E49" s="159">
        <v>0.699999988079071</v>
      </c>
      <c r="F49" s="159">
        <v>122.01243591308594</v>
      </c>
      <c r="G49" s="159">
        <v>1585.586669921875</v>
      </c>
    </row>
    <row r="50" spans="2:7" ht="19.5" customHeight="1">
      <c r="B50" s="159">
        <v>6.260871887207031</v>
      </c>
      <c r="C50" s="159">
        <v>181.60000610351562</v>
      </c>
      <c r="D50" s="159">
        <v>2276.11962890625</v>
      </c>
      <c r="E50" s="159">
        <v>0.699999988079071</v>
      </c>
      <c r="F50" s="159">
        <v>127.12000274658203</v>
      </c>
      <c r="G50" s="159">
        <v>1593.28369140625</v>
      </c>
    </row>
    <row r="51" spans="2:7" ht="19.5" customHeight="1">
      <c r="B51" s="159">
        <v>6.3608717918396</v>
      </c>
      <c r="C51" s="159">
        <v>194.07273864746094</v>
      </c>
      <c r="D51" s="159">
        <v>2264.744384765625</v>
      </c>
      <c r="E51" s="159">
        <v>0.699999988079071</v>
      </c>
      <c r="F51" s="159">
        <v>135.85092163085938</v>
      </c>
      <c r="G51" s="159">
        <v>1585.321044921875</v>
      </c>
    </row>
    <row r="52" spans="2:7" ht="19.5" customHeight="1">
      <c r="B52" s="159">
        <v>6.460871696472168</v>
      </c>
      <c r="C52" s="159">
        <v>208.23065185546875</v>
      </c>
      <c r="D52" s="159">
        <v>2245.43310546875</v>
      </c>
      <c r="E52" s="159">
        <v>0.699999988079071</v>
      </c>
      <c r="F52" s="159">
        <v>145.76145935058594</v>
      </c>
      <c r="G52" s="159">
        <v>1571.8031005859375</v>
      </c>
    </row>
    <row r="53" spans="2:7" ht="19.5" customHeight="1">
      <c r="B53" s="159">
        <v>6.560871601104736</v>
      </c>
      <c r="C53" s="159">
        <v>222.05722045898438</v>
      </c>
      <c r="D53" s="159">
        <v>2226.536376953125</v>
      </c>
      <c r="E53" s="159">
        <v>0.699999988079071</v>
      </c>
      <c r="F53" s="159">
        <v>155.44004821777344</v>
      </c>
      <c r="G53" s="159">
        <v>1558.575439453125</v>
      </c>
    </row>
    <row r="54" spans="2:7" ht="19.5" customHeight="1">
      <c r="B54" s="159">
        <v>6.660871505737305</v>
      </c>
      <c r="C54" s="159">
        <v>235.56732177734375</v>
      </c>
      <c r="D54" s="159">
        <v>2208.023193359375</v>
      </c>
      <c r="E54" s="159">
        <v>0.699999988079071</v>
      </c>
      <c r="F54" s="159">
        <v>164.89712524414062</v>
      </c>
      <c r="G54" s="159">
        <v>1545.6162109375</v>
      </c>
    </row>
    <row r="55" spans="2:7" ht="19.5" customHeight="1">
      <c r="B55" s="159">
        <v>6.760871410369873</v>
      </c>
      <c r="C55" s="159">
        <v>248.77499389648438</v>
      </c>
      <c r="D55" s="159">
        <v>2189.863525390625</v>
      </c>
      <c r="E55" s="159">
        <v>0.699999988079071</v>
      </c>
      <c r="F55" s="159">
        <v>174.14248657226562</v>
      </c>
      <c r="G55" s="159">
        <v>1532.9044189453125</v>
      </c>
    </row>
    <row r="56" spans="2:7" ht="19.5" customHeight="1">
      <c r="B56" s="159">
        <v>6.860871315002441</v>
      </c>
      <c r="C56" s="159">
        <v>261.6934814453125</v>
      </c>
      <c r="D56" s="159">
        <v>2172.0302734375</v>
      </c>
      <c r="E56" s="159">
        <v>0.699999988079071</v>
      </c>
      <c r="F56" s="159">
        <v>183.18544006347656</v>
      </c>
      <c r="G56" s="159">
        <v>1520.421142578125</v>
      </c>
    </row>
    <row r="57" spans="2:7" ht="19.5" customHeight="1">
      <c r="B57" s="159">
        <v>6.96087121963501</v>
      </c>
      <c r="C57" s="159">
        <v>274.3352966308594</v>
      </c>
      <c r="D57" s="159">
        <v>2154.4970703125</v>
      </c>
      <c r="E57" s="159">
        <v>0.699999988079071</v>
      </c>
      <c r="F57" s="159">
        <v>192.03469848632812</v>
      </c>
      <c r="G57" s="159">
        <v>1508.14794921875</v>
      </c>
    </row>
    <row r="58" spans="2:7" ht="19.5" customHeight="1">
      <c r="B58" s="159">
        <v>7.060871124267578</v>
      </c>
      <c r="C58" s="159">
        <v>286.71209716796875</v>
      </c>
      <c r="D58" s="159">
        <v>2137.239501953125</v>
      </c>
      <c r="E58" s="159">
        <v>0.699999988079071</v>
      </c>
      <c r="F58" s="159">
        <v>200.69847106933594</v>
      </c>
      <c r="G58" s="159">
        <v>1496.067626953125</v>
      </c>
    </row>
    <row r="59" spans="2:7" ht="19.5" customHeight="1">
      <c r="B59" s="159">
        <v>7.1608710289001465</v>
      </c>
      <c r="C59" s="159">
        <v>298.8350524902344</v>
      </c>
      <c r="D59" s="159">
        <v>2120.23388671875</v>
      </c>
      <c r="E59" s="159">
        <v>0.699999988079071</v>
      </c>
      <c r="F59" s="159">
        <v>209.18453979492188</v>
      </c>
      <c r="G59" s="159">
        <v>1484.1636962890625</v>
      </c>
    </row>
    <row r="60" spans="2:7" ht="19.5" customHeight="1">
      <c r="B60" s="159">
        <v>7.260870933532715</v>
      </c>
      <c r="C60" s="159">
        <v>310.7146301269531</v>
      </c>
      <c r="D60" s="159">
        <v>2103.458740234375</v>
      </c>
      <c r="E60" s="159">
        <v>0.699999988079071</v>
      </c>
      <c r="F60" s="159">
        <v>217.500244140625</v>
      </c>
      <c r="G60" s="159">
        <v>1472.421142578125</v>
      </c>
    </row>
    <row r="61" spans="2:7" ht="19.5" customHeight="1">
      <c r="B61" s="159">
        <v>7.360870838165283</v>
      </c>
      <c r="C61" s="159">
        <v>322.3607482910156</v>
      </c>
      <c r="D61" s="159">
        <v>2086.892822265625</v>
      </c>
      <c r="E61" s="159">
        <v>0.699999988079071</v>
      </c>
      <c r="F61" s="159">
        <v>225.65252685546875</v>
      </c>
      <c r="G61" s="159">
        <v>1460.824951171875</v>
      </c>
    </row>
    <row r="62" spans="2:7" ht="19.5" customHeight="1">
      <c r="B62" s="159">
        <v>7.460870742797852</v>
      </c>
      <c r="C62" s="159">
        <v>333.7828063964844</v>
      </c>
      <c r="D62" s="159">
        <v>2070.516845703125</v>
      </c>
      <c r="E62" s="159">
        <v>0.699999988079071</v>
      </c>
      <c r="F62" s="159">
        <v>233.64796447753906</v>
      </c>
      <c r="G62" s="159">
        <v>1449.36181640625</v>
      </c>
    </row>
    <row r="63" spans="2:7" ht="19.5" customHeight="1">
      <c r="B63" s="159">
        <v>7.56087064743042</v>
      </c>
      <c r="C63" s="159">
        <v>344.98968505859375</v>
      </c>
      <c r="D63" s="159">
        <v>2054.312255859375</v>
      </c>
      <c r="E63" s="159">
        <v>0.699999988079071</v>
      </c>
      <c r="F63" s="159">
        <v>241.49278259277344</v>
      </c>
      <c r="G63" s="159">
        <v>1438.0185546875</v>
      </c>
    </row>
    <row r="64" spans="2:7" ht="19.5" customHeight="1">
      <c r="B64" s="159">
        <v>7.660870552062988</v>
      </c>
      <c r="C64" s="159">
        <v>355.8996887207031</v>
      </c>
      <c r="D64" s="159">
        <v>2037.8892822265625</v>
      </c>
      <c r="E64" s="159">
        <v>0.699999988079071</v>
      </c>
      <c r="F64" s="159">
        <v>249.12977600097656</v>
      </c>
      <c r="G64" s="159">
        <v>1426.5224609375</v>
      </c>
    </row>
    <row r="65" spans="2:7" ht="19.5" customHeight="1">
      <c r="B65" s="159">
        <v>7.760870456695557</v>
      </c>
      <c r="C65" s="159">
        <v>365.60284423828125</v>
      </c>
      <c r="D65" s="159">
        <v>2017.44482421875</v>
      </c>
      <c r="E65" s="159">
        <v>0.699999988079071</v>
      </c>
      <c r="F65" s="159">
        <v>255.92198181152344</v>
      </c>
      <c r="G65" s="159">
        <v>1412.2113037109375</v>
      </c>
    </row>
    <row r="66" spans="2:7" ht="19.5" customHeight="1">
      <c r="B66" s="159">
        <v>7.860870361328125</v>
      </c>
      <c r="C66" s="159">
        <v>375.14276123046875</v>
      </c>
      <c r="D66" s="159">
        <v>1997.236572265625</v>
      </c>
      <c r="E66" s="159">
        <v>0.699999988079071</v>
      </c>
      <c r="F66" s="159">
        <v>262.59991455078125</v>
      </c>
      <c r="G66" s="159">
        <v>1398.0655517578125</v>
      </c>
    </row>
    <row r="67" spans="2:7" ht="19.5" customHeight="1">
      <c r="B67" s="159">
        <v>7.960870265960693</v>
      </c>
      <c r="C67" s="159">
        <v>384.525634765625</v>
      </c>
      <c r="D67" s="159">
        <v>1977.2452392578125</v>
      </c>
      <c r="E67" s="159">
        <v>0.699999988079071</v>
      </c>
      <c r="F67" s="159">
        <v>269.1679382324219</v>
      </c>
      <c r="G67" s="159">
        <v>1384.0716552734375</v>
      </c>
    </row>
    <row r="68" spans="2:7" ht="19.5" customHeight="1">
      <c r="B68" s="159">
        <v>8.060870170593262</v>
      </c>
      <c r="C68" s="159">
        <v>393.7572326660156</v>
      </c>
      <c r="D68" s="159">
        <v>1957.4520263671875</v>
      </c>
      <c r="E68" s="159">
        <v>0.699999988079071</v>
      </c>
      <c r="F68" s="159">
        <v>275.63006591796875</v>
      </c>
      <c r="G68" s="159">
        <v>1370.2164306640625</v>
      </c>
    </row>
    <row r="69" spans="2:7" ht="19.5" customHeight="1">
      <c r="B69" s="159">
        <v>8.160870552062988</v>
      </c>
      <c r="C69" s="159">
        <v>402.84320068359375</v>
      </c>
      <c r="D69" s="159">
        <v>1937.8394775390625</v>
      </c>
      <c r="E69" s="159">
        <v>0.699999988079071</v>
      </c>
      <c r="F69" s="159">
        <v>281.990234375</v>
      </c>
      <c r="G69" s="159">
        <v>1356.4876708984375</v>
      </c>
    </row>
    <row r="70" spans="2:7" ht="19.5" customHeight="1">
      <c r="B70" s="159">
        <v>8.260870933532715</v>
      </c>
      <c r="C70" s="159">
        <v>411.788818359375</v>
      </c>
      <c r="D70" s="159">
        <v>1918.39111328125</v>
      </c>
      <c r="E70" s="159">
        <v>0.699999988079071</v>
      </c>
      <c r="F70" s="159">
        <v>288.2521667480469</v>
      </c>
      <c r="G70" s="159">
        <v>1342.873779296875</v>
      </c>
    </row>
    <row r="71" spans="2:7" ht="19.5" customHeight="1">
      <c r="B71" s="159">
        <v>8.360871315002441</v>
      </c>
      <c r="C71" s="159">
        <v>420.59906005859375</v>
      </c>
      <c r="D71" s="159">
        <v>1899.0906982421875</v>
      </c>
      <c r="E71" s="159">
        <v>0.699999988079071</v>
      </c>
      <c r="F71" s="159">
        <v>294.4193420410156</v>
      </c>
      <c r="G71" s="159">
        <v>1329.363525390625</v>
      </c>
    </row>
    <row r="72" spans="2:7" ht="19.5" customHeight="1">
      <c r="B72" s="159">
        <v>8.460871696472168</v>
      </c>
      <c r="C72" s="159">
        <v>429.27874755859375</v>
      </c>
      <c r="D72" s="159">
        <v>1879.9232177734375</v>
      </c>
      <c r="E72" s="159">
        <v>0.699999988079071</v>
      </c>
      <c r="F72" s="159">
        <v>300.4951171875</v>
      </c>
      <c r="G72" s="159">
        <v>1315.9462890625</v>
      </c>
    </row>
    <row r="73" spans="2:7" ht="19.5" customHeight="1">
      <c r="B73" s="159">
        <v>8.560872077941895</v>
      </c>
      <c r="C73" s="159">
        <v>437.83245849609375</v>
      </c>
      <c r="D73" s="159">
        <v>1860.874267578125</v>
      </c>
      <c r="E73" s="159">
        <v>0.699999988079071</v>
      </c>
      <c r="F73" s="159">
        <v>306.48272705078125</v>
      </c>
      <c r="G73" s="159">
        <v>1302.6119384765625</v>
      </c>
    </row>
    <row r="74" spans="2:7" ht="19.5" customHeight="1">
      <c r="B74" s="159">
        <v>8.660872459411621</v>
      </c>
      <c r="C74" s="159">
        <v>446.26458740234375</v>
      </c>
      <c r="D74" s="159">
        <v>1841.93017578125</v>
      </c>
      <c r="E74" s="159">
        <v>0.699999988079071</v>
      </c>
      <c r="F74" s="159">
        <v>312.38519287109375</v>
      </c>
      <c r="G74" s="159">
        <v>1289.35107421875</v>
      </c>
    </row>
    <row r="75" spans="2:7" ht="19.5" customHeight="1">
      <c r="B75" s="159">
        <v>8.760872840881348</v>
      </c>
      <c r="C75" s="159">
        <v>454.5792236328125</v>
      </c>
      <c r="D75" s="159">
        <v>1823.077392578125</v>
      </c>
      <c r="E75" s="159">
        <v>0.699999988079071</v>
      </c>
      <c r="F75" s="159">
        <v>318.2054443359375</v>
      </c>
      <c r="G75" s="159">
        <v>1276.1541748046875</v>
      </c>
    </row>
    <row r="76" spans="2:7" ht="19.5" customHeight="1">
      <c r="B76" s="159">
        <v>8.860873222351074</v>
      </c>
      <c r="C76" s="159">
        <v>462.7803955078125</v>
      </c>
      <c r="D76" s="159">
        <v>1804.3037109375</v>
      </c>
      <c r="E76" s="159">
        <v>0.699999988079071</v>
      </c>
      <c r="F76" s="159">
        <v>323.9462585449219</v>
      </c>
      <c r="G76" s="159">
        <v>1263.0125732421875</v>
      </c>
    </row>
    <row r="77" spans="2:7" ht="19.5" customHeight="1">
      <c r="B77" s="159">
        <v>8.9608736038208</v>
      </c>
      <c r="C77" s="159">
        <v>470.87188720703125</v>
      </c>
      <c r="D77" s="159">
        <v>1785.59716796875</v>
      </c>
      <c r="E77" s="159">
        <v>0.699999988079071</v>
      </c>
      <c r="F77" s="159">
        <v>329.6103210449219</v>
      </c>
      <c r="G77" s="159">
        <v>1249.91796875</v>
      </c>
    </row>
    <row r="78" spans="2:7" ht="19.5" customHeight="1">
      <c r="B78" s="159">
        <v>9.060873985290527</v>
      </c>
      <c r="C78" s="159">
        <v>478.8573913574219</v>
      </c>
      <c r="D78" s="159">
        <v>1766.946044921875</v>
      </c>
      <c r="E78" s="159">
        <v>0.699999988079071</v>
      </c>
      <c r="F78" s="159">
        <v>335.2001647949219</v>
      </c>
      <c r="G78" s="159">
        <v>1236.8621826171875</v>
      </c>
    </row>
    <row r="79" spans="2:7" ht="19.5" customHeight="1">
      <c r="B79" s="159">
        <v>9.160874366760254</v>
      </c>
      <c r="C79" s="159">
        <v>486.74029541015625</v>
      </c>
      <c r="D79" s="159">
        <v>1748.339599609375</v>
      </c>
      <c r="E79" s="159">
        <v>0.699999988079071</v>
      </c>
      <c r="F79" s="159">
        <v>340.71820068359375</v>
      </c>
      <c r="G79" s="159">
        <v>1223.837646484375</v>
      </c>
    </row>
    <row r="80" spans="2:7" ht="19.5" customHeight="1">
      <c r="B80" s="159">
        <v>9.26087474822998</v>
      </c>
      <c r="C80" s="159">
        <v>494.52392578125</v>
      </c>
      <c r="D80" s="159">
        <v>1729.76708984375</v>
      </c>
      <c r="E80" s="159">
        <v>0.699999988079071</v>
      </c>
      <c r="F80" s="159">
        <v>346.166748046875</v>
      </c>
      <c r="G80" s="159">
        <v>1210.8369140625</v>
      </c>
    </row>
    <row r="81" spans="2:7" ht="19.5" customHeight="1">
      <c r="B81" s="159">
        <v>9.360875129699707</v>
      </c>
      <c r="C81" s="159">
        <v>502.2115478515625</v>
      </c>
      <c r="D81" s="159">
        <v>1711.2186279296875</v>
      </c>
      <c r="E81" s="159">
        <v>0.699999988079071</v>
      </c>
      <c r="F81" s="159">
        <v>351.5480651855469</v>
      </c>
      <c r="G81" s="159">
        <v>1197.85302734375</v>
      </c>
    </row>
    <row r="82" spans="2:7" ht="19.5" customHeight="1">
      <c r="B82" s="159">
        <v>9.460875511169434</v>
      </c>
      <c r="C82" s="159">
        <v>509.80609130859375</v>
      </c>
      <c r="D82" s="159">
        <v>1692.6845703125</v>
      </c>
      <c r="E82" s="159">
        <v>0.699999988079071</v>
      </c>
      <c r="F82" s="159">
        <v>356.8642578125</v>
      </c>
      <c r="G82" s="159">
        <v>1184.879150390625</v>
      </c>
    </row>
    <row r="83" spans="2:7" ht="19.5" customHeight="1">
      <c r="B83" s="159">
        <v>9.56087589263916</v>
      </c>
      <c r="C83" s="159">
        <v>517.310546875</v>
      </c>
      <c r="D83" s="159">
        <v>1674.1556396484375</v>
      </c>
      <c r="E83" s="159">
        <v>0.699999988079071</v>
      </c>
      <c r="F83" s="159">
        <v>362.11737060546875</v>
      </c>
      <c r="G83" s="159">
        <v>1171.908935546875</v>
      </c>
    </row>
    <row r="84" spans="2:7" ht="19.5" customHeight="1">
      <c r="B84" s="159">
        <v>9.660876274108887</v>
      </c>
      <c r="C84" s="159">
        <v>524.7277221679688</v>
      </c>
      <c r="D84" s="159">
        <v>1655.623046875</v>
      </c>
      <c r="E84" s="159">
        <v>0.699999988079071</v>
      </c>
      <c r="F84" s="159">
        <v>367.30938720703125</v>
      </c>
      <c r="G84" s="159">
        <v>1158.9361572265625</v>
      </c>
    </row>
    <row r="85" spans="2:7" ht="19.5" customHeight="1">
      <c r="B85" s="159">
        <v>9.760876655578613</v>
      </c>
      <c r="C85" s="159">
        <v>532.060302734375</v>
      </c>
      <c r="D85" s="159">
        <v>1637.0784912109375</v>
      </c>
      <c r="E85" s="159">
        <v>0.699999988079071</v>
      </c>
      <c r="F85" s="159">
        <v>372.44219970703125</v>
      </c>
      <c r="G85" s="159">
        <v>1145.9549560546875</v>
      </c>
    </row>
    <row r="86" spans="2:7" ht="19.5" customHeight="1">
      <c r="B86" s="159">
        <v>9.86087703704834</v>
      </c>
      <c r="C86" s="159">
        <v>539.310791015625</v>
      </c>
      <c r="D86" s="159">
        <v>1618.5135498046875</v>
      </c>
      <c r="E86" s="159">
        <v>0.699999988079071</v>
      </c>
      <c r="F86" s="159">
        <v>377.5175476074219</v>
      </c>
      <c r="G86" s="159">
        <v>1132.95947265625</v>
      </c>
    </row>
    <row r="87" spans="2:7" ht="19.5" customHeight="1">
      <c r="B87" s="159">
        <v>9.960877418518066</v>
      </c>
      <c r="C87" s="159">
        <v>546.481689453125</v>
      </c>
      <c r="D87" s="159">
        <v>1599.9205322265625</v>
      </c>
      <c r="E87" s="159">
        <v>0.699999988079071</v>
      </c>
      <c r="F87" s="159">
        <v>382.53717041015625</v>
      </c>
      <c r="G87" s="159">
        <v>1119.9443359375</v>
      </c>
    </row>
    <row r="88" spans="2:7" ht="19.5" customHeight="1">
      <c r="B88" s="159">
        <v>10.060877799987793</v>
      </c>
      <c r="C88" s="159">
        <v>553.575439453125</v>
      </c>
      <c r="D88" s="159">
        <v>1581.2919921875</v>
      </c>
      <c r="E88" s="159">
        <v>0.699999988079071</v>
      </c>
      <c r="F88" s="159">
        <v>387.5028076171875</v>
      </c>
      <c r="G88" s="159">
        <v>1106.9044189453125</v>
      </c>
    </row>
    <row r="89" spans="2:7" ht="19.5" customHeight="1">
      <c r="B89" s="159">
        <v>10.16087818145752</v>
      </c>
      <c r="C89" s="159">
        <v>560.59423828125</v>
      </c>
      <c r="D89" s="159">
        <v>1562.62060546875</v>
      </c>
      <c r="E89" s="159">
        <v>0.699999988079071</v>
      </c>
      <c r="F89" s="159">
        <v>392.41595458984375</v>
      </c>
      <c r="G89" s="159">
        <v>1093.8343505859375</v>
      </c>
    </row>
    <row r="90" spans="2:7" ht="19.5" customHeight="1">
      <c r="B90" s="159">
        <v>10.260878562927246</v>
      </c>
      <c r="C90" s="159">
        <v>567.5403442382812</v>
      </c>
      <c r="D90" s="159">
        <v>1543.8995361328125</v>
      </c>
      <c r="E90" s="159">
        <v>0.699999988079071</v>
      </c>
      <c r="F90" s="159">
        <v>397.2782287597656</v>
      </c>
      <c r="G90" s="159">
        <v>1080.7296142578125</v>
      </c>
    </row>
    <row r="91" spans="2:7" ht="19.5" customHeight="1">
      <c r="B91" s="159">
        <v>10.360878944396973</v>
      </c>
      <c r="C91" s="159">
        <v>574.415771484375</v>
      </c>
      <c r="D91" s="159">
        <v>1525.1221923828125</v>
      </c>
      <c r="E91" s="159">
        <v>0.699999988079071</v>
      </c>
      <c r="F91" s="159">
        <v>402.0910339355469</v>
      </c>
      <c r="G91" s="159">
        <v>1067.5855712890625</v>
      </c>
    </row>
    <row r="92" spans="2:7" ht="19.5" customHeight="1">
      <c r="B92" s="159">
        <v>10.4608793258667</v>
      </c>
      <c r="C92" s="159">
        <v>581.2225952148438</v>
      </c>
      <c r="D92" s="159">
        <v>1506.2821044921875</v>
      </c>
      <c r="E92" s="159">
        <v>0.699999988079071</v>
      </c>
      <c r="F92" s="159">
        <v>406.8558044433594</v>
      </c>
      <c r="G92" s="159">
        <v>1054.3974609375</v>
      </c>
    </row>
    <row r="93" spans="2:7" ht="19.5" customHeight="1">
      <c r="B93" s="159">
        <v>10.560879707336426</v>
      </c>
      <c r="C93" s="159">
        <v>587.9627685546875</v>
      </c>
      <c r="D93" s="159">
        <v>1487.373046875</v>
      </c>
      <c r="E93" s="159">
        <v>0.699999988079071</v>
      </c>
      <c r="F93" s="159">
        <v>411.5739440917969</v>
      </c>
      <c r="G93" s="159">
        <v>1041.1611328125</v>
      </c>
    </row>
    <row r="94" spans="2:7" ht="19.5" customHeight="1">
      <c r="B94" s="159">
        <v>10.660880088806152</v>
      </c>
      <c r="C94" s="159">
        <v>594.6382446289062</v>
      </c>
      <c r="D94" s="159">
        <v>1468.3892822265625</v>
      </c>
      <c r="E94" s="159">
        <v>0.699999988079071</v>
      </c>
      <c r="F94" s="159">
        <v>416.24676513671875</v>
      </c>
      <c r="G94" s="159">
        <v>1027.8724365234375</v>
      </c>
    </row>
    <row r="95" spans="2:7" ht="19.5" customHeight="1">
      <c r="B95" s="159">
        <v>10.760880470275879</v>
      </c>
      <c r="C95" s="159">
        <v>601.250732421875</v>
      </c>
      <c r="D95" s="159">
        <v>1449.324951171875</v>
      </c>
      <c r="E95" s="159">
        <v>0.699999988079071</v>
      </c>
      <c r="F95" s="159">
        <v>420.8755187988281</v>
      </c>
      <c r="G95" s="159">
        <v>1014.5274658203125</v>
      </c>
    </row>
    <row r="96" spans="2:7" ht="19.5" customHeight="1">
      <c r="B96" s="159">
        <v>10.860880851745605</v>
      </c>
      <c r="C96" s="159">
        <v>607.8019409179688</v>
      </c>
      <c r="D96" s="159">
        <v>1430.174560546875</v>
      </c>
      <c r="E96" s="159">
        <v>0.699999988079071</v>
      </c>
      <c r="F96" s="159">
        <v>425.46136474609375</v>
      </c>
      <c r="G96" s="159">
        <v>1001.1221923828125</v>
      </c>
    </row>
    <row r="97" spans="2:7" ht="19.5" customHeight="1">
      <c r="B97" s="159">
        <v>10.960881233215332</v>
      </c>
      <c r="C97" s="159">
        <v>614.2935791015625</v>
      </c>
      <c r="D97" s="159">
        <v>1410.9329833984375</v>
      </c>
      <c r="E97" s="159">
        <v>0.699999988079071</v>
      </c>
      <c r="F97" s="159">
        <v>430.0054931640625</v>
      </c>
      <c r="G97" s="159">
        <v>987.653076171875</v>
      </c>
    </row>
    <row r="98" spans="2:7" ht="19.5" customHeight="1">
      <c r="B98" s="159">
        <v>11.060881614685059</v>
      </c>
      <c r="C98" s="159">
        <v>620.727294921875</v>
      </c>
      <c r="D98" s="159">
        <v>1391.5948486328125</v>
      </c>
      <c r="E98" s="159">
        <v>0.699999988079071</v>
      </c>
      <c r="F98" s="159">
        <v>434.50909423828125</v>
      </c>
      <c r="G98" s="159">
        <v>974.1163940429688</v>
      </c>
    </row>
    <row r="99" spans="2:7" ht="19.5" customHeight="1">
      <c r="B99" s="159">
        <v>11.160881996154785</v>
      </c>
      <c r="C99" s="159">
        <v>627.1046142578125</v>
      </c>
      <c r="D99" s="159">
        <v>1372.155517578125</v>
      </c>
      <c r="E99" s="159">
        <v>0.699999988079071</v>
      </c>
      <c r="F99" s="159">
        <v>438.9732360839844</v>
      </c>
      <c r="G99" s="159">
        <v>960.5088500976562</v>
      </c>
    </row>
    <row r="100" spans="2:7" ht="19.5" customHeight="1">
      <c r="B100" s="159">
        <v>11.260882377624512</v>
      </c>
      <c r="C100" s="159">
        <v>633.4271240234375</v>
      </c>
      <c r="D100" s="159">
        <v>1352.6099853515625</v>
      </c>
      <c r="E100" s="159">
        <v>0.699999988079071</v>
      </c>
      <c r="F100" s="159">
        <v>443.39898681640625</v>
      </c>
      <c r="G100" s="159">
        <v>946.8269653320312</v>
      </c>
    </row>
    <row r="101" spans="2:7" ht="19.5" customHeight="1">
      <c r="B101" s="159">
        <v>11.360882759094238</v>
      </c>
      <c r="C101" s="159">
        <v>639.6961669921875</v>
      </c>
      <c r="D101" s="159">
        <v>1332.953857421875</v>
      </c>
      <c r="E101" s="159">
        <v>0.699999988079071</v>
      </c>
      <c r="F101" s="159">
        <v>447.7873229980469</v>
      </c>
      <c r="G101" s="159">
        <v>933.0676879882812</v>
      </c>
    </row>
    <row r="102" spans="2:7" ht="19.5" customHeight="1">
      <c r="B102" s="159">
        <v>11.460883140563965</v>
      </c>
      <c r="C102" s="159">
        <v>645.9131469726562</v>
      </c>
      <c r="D102" s="159">
        <v>1313.1826171875</v>
      </c>
      <c r="E102" s="159">
        <v>0.699999988079071</v>
      </c>
      <c r="F102" s="159">
        <v>452.1391906738281</v>
      </c>
      <c r="G102" s="159">
        <v>919.2278442382812</v>
      </c>
    </row>
    <row r="103" spans="2:7" ht="19.5" customHeight="1">
      <c r="B103" s="159">
        <v>11.560883522033691</v>
      </c>
      <c r="C103" s="159">
        <v>652.0794677734375</v>
      </c>
      <c r="D103" s="159">
        <v>1293.2921142578125</v>
      </c>
      <c r="E103" s="159">
        <v>0.699999988079071</v>
      </c>
      <c r="F103" s="159">
        <v>456.45562744140625</v>
      </c>
      <c r="G103" s="159">
        <v>905.304443359375</v>
      </c>
    </row>
    <row r="104" spans="2:7" ht="19.5" customHeight="1">
      <c r="B104" s="159">
        <v>11.660883903503418</v>
      </c>
      <c r="C104" s="159">
        <v>658.1964111328125</v>
      </c>
      <c r="D104" s="159">
        <v>1273.2781982421875</v>
      </c>
      <c r="E104" s="159">
        <v>0.699999988079071</v>
      </c>
      <c r="F104" s="159">
        <v>460.73748779296875</v>
      </c>
      <c r="G104" s="159">
        <v>891.2947387695312</v>
      </c>
    </row>
    <row r="105" spans="2:7" ht="19.5" customHeight="1">
      <c r="B105" s="159">
        <v>11.760884284973145</v>
      </c>
      <c r="C105" s="159">
        <v>664.2652587890625</v>
      </c>
      <c r="D105" s="159">
        <v>1253.13671875</v>
      </c>
      <c r="E105" s="159">
        <v>0.699999988079071</v>
      </c>
      <c r="F105" s="159">
        <v>464.9856872558594</v>
      </c>
      <c r="G105" s="159">
        <v>877.1956787109375</v>
      </c>
    </row>
    <row r="106" spans="2:7" ht="19.5" customHeight="1">
      <c r="B106" s="159">
        <v>11.860884666442871</v>
      </c>
      <c r="C106" s="159">
        <v>670.2871704101562</v>
      </c>
      <c r="D106" s="159">
        <v>1232.864013671875</v>
      </c>
      <c r="E106" s="159">
        <v>0.699999988079071</v>
      </c>
      <c r="F106" s="159">
        <v>469.2010192871094</v>
      </c>
      <c r="G106" s="159">
        <v>863.0048217773438</v>
      </c>
    </row>
    <row r="107" spans="2:7" ht="19.5" customHeight="1">
      <c r="B107" s="159">
        <v>11.960885047912598</v>
      </c>
      <c r="C107" s="159">
        <v>676.263427734375</v>
      </c>
      <c r="D107" s="159">
        <v>1212.456298828125</v>
      </c>
      <c r="E107" s="159">
        <v>0.699999988079071</v>
      </c>
      <c r="F107" s="159">
        <v>473.3843994140625</v>
      </c>
      <c r="G107" s="159">
        <v>848.7194213867188</v>
      </c>
    </row>
    <row r="108" spans="2:7" ht="19.5" customHeight="1">
      <c r="B108" s="159">
        <v>12.060885429382324</v>
      </c>
      <c r="C108" s="159">
        <v>682.1950073242188</v>
      </c>
      <c r="D108" s="159">
        <v>1191.9100341796875</v>
      </c>
      <c r="E108" s="159">
        <v>0.699999988079071</v>
      </c>
      <c r="F108" s="159">
        <v>477.5364990234375</v>
      </c>
      <c r="G108" s="159">
        <v>834.3370361328125</v>
      </c>
    </row>
    <row r="109" spans="2:7" ht="19.5" customHeight="1">
      <c r="B109" s="159">
        <v>12.16088581085205</v>
      </c>
      <c r="C109" s="159">
        <v>688.0831298828125</v>
      </c>
      <c r="D109" s="159">
        <v>1171.2216796875</v>
      </c>
      <c r="E109" s="159">
        <v>0.699999988079071</v>
      </c>
      <c r="F109" s="159">
        <v>481.6581726074219</v>
      </c>
      <c r="G109" s="159">
        <v>819.8551635742188</v>
      </c>
    </row>
    <row r="110" spans="2:7" ht="19.5" customHeight="1">
      <c r="B110" s="159">
        <v>12.260886192321777</v>
      </c>
      <c r="C110" s="159">
        <v>693.9288330078125</v>
      </c>
      <c r="D110" s="159">
        <v>1150.3878173828125</v>
      </c>
      <c r="E110" s="159">
        <v>0.699999988079071</v>
      </c>
      <c r="F110" s="159">
        <v>485.75018310546875</v>
      </c>
      <c r="G110" s="159">
        <v>805.271484375</v>
      </c>
    </row>
    <row r="111" spans="2:7" ht="19.5" customHeight="1">
      <c r="B111" s="159">
        <v>12.360886573791504</v>
      </c>
      <c r="C111" s="159">
        <v>699.733154296875</v>
      </c>
      <c r="D111" s="159">
        <v>1129.4053955078125</v>
      </c>
      <c r="E111" s="159">
        <v>0.699999988079071</v>
      </c>
      <c r="F111" s="159">
        <v>489.8132019042969</v>
      </c>
      <c r="G111" s="159">
        <v>790.583740234375</v>
      </c>
    </row>
    <row r="112" spans="2:7" ht="19.5" customHeight="1">
      <c r="B112" s="159">
        <v>12.46088695526123</v>
      </c>
      <c r="C112" s="159">
        <v>705.4970703125</v>
      </c>
      <c r="D112" s="159">
        <v>1108.2711181640625</v>
      </c>
      <c r="E112" s="159">
        <v>0.699999988079071</v>
      </c>
      <c r="F112" s="159">
        <v>493.8479309082031</v>
      </c>
      <c r="G112" s="159">
        <v>775.789794921875</v>
      </c>
    </row>
    <row r="113" spans="2:7" ht="19.5" customHeight="1">
      <c r="B113" s="159">
        <v>12.560887336730957</v>
      </c>
      <c r="C113" s="159">
        <v>711.2215576171875</v>
      </c>
      <c r="D113" s="159">
        <v>1086.98193359375</v>
      </c>
      <c r="E113" s="159">
        <v>0.699999988079071</v>
      </c>
      <c r="F113" s="159">
        <v>497.8550720214844</v>
      </c>
      <c r="G113" s="159">
        <v>760.8873291015625</v>
      </c>
    </row>
    <row r="114" spans="2:7" ht="19.5" customHeight="1">
      <c r="B114" s="159">
        <v>12.660887718200684</v>
      </c>
      <c r="C114" s="159">
        <v>716.907470703125</v>
      </c>
      <c r="D114" s="159">
        <v>1065.5350341796875</v>
      </c>
      <c r="E114" s="159">
        <v>0.699999988079071</v>
      </c>
      <c r="F114" s="159">
        <v>501.8352355957031</v>
      </c>
      <c r="G114" s="159">
        <v>745.87451171875</v>
      </c>
    </row>
    <row r="115" spans="2:7" ht="19.5" customHeight="1">
      <c r="B115" s="159">
        <v>12.76088809967041</v>
      </c>
      <c r="C115" s="159">
        <v>722.555908203125</v>
      </c>
      <c r="D115" s="159">
        <v>1043.9273681640625</v>
      </c>
      <c r="E115" s="159">
        <v>0.699999988079071</v>
      </c>
      <c r="F115" s="159">
        <v>505.78912353515625</v>
      </c>
      <c r="G115" s="159">
        <v>730.7491455078125</v>
      </c>
    </row>
    <row r="116" spans="2:7" ht="19.5" customHeight="1">
      <c r="B116" s="159">
        <v>12.860888481140137</v>
      </c>
      <c r="C116" s="159">
        <v>728.1676025390625</v>
      </c>
      <c r="D116" s="159">
        <v>1022.1563110351562</v>
      </c>
      <c r="E116" s="159">
        <v>0.699999988079071</v>
      </c>
      <c r="F116" s="159">
        <v>509.7173156738281</v>
      </c>
      <c r="G116" s="159">
        <v>715.5093994140625</v>
      </c>
    </row>
    <row r="117" spans="2:7" ht="19.5" customHeight="1">
      <c r="B117" s="159">
        <v>12.960888862609863</v>
      </c>
      <c r="C117" s="159">
        <v>733.7433471679688</v>
      </c>
      <c r="D117" s="159">
        <v>1000.2191162109375</v>
      </c>
      <c r="E117" s="159">
        <v>0.699999988079071</v>
      </c>
      <c r="F117" s="159">
        <v>513.620361328125</v>
      </c>
      <c r="G117" s="159">
        <v>700.1533813476562</v>
      </c>
    </row>
    <row r="118" spans="2:7" ht="19.5" customHeight="1">
      <c r="B118" s="159">
        <v>13.06088924407959</v>
      </c>
      <c r="C118" s="159">
        <v>739.2841186523438</v>
      </c>
      <c r="D118" s="159">
        <v>978.1130981445312</v>
      </c>
      <c r="E118" s="159">
        <v>0.699999988079071</v>
      </c>
      <c r="F118" s="159">
        <v>517.4989013671875</v>
      </c>
      <c r="G118" s="159">
        <v>684.6791381835938</v>
      </c>
    </row>
    <row r="119" spans="2:7" ht="19.5" customHeight="1">
      <c r="B119" s="159">
        <v>13.160889625549316</v>
      </c>
      <c r="C119" s="159">
        <v>744.7906494140625</v>
      </c>
      <c r="D119" s="159">
        <v>955.8359375</v>
      </c>
      <c r="E119" s="159">
        <v>0.699999988079071</v>
      </c>
      <c r="F119" s="159">
        <v>521.3534545898438</v>
      </c>
      <c r="G119" s="159">
        <v>669.0851440429688</v>
      </c>
    </row>
    <row r="120" spans="2:7" ht="19.5" customHeight="1">
      <c r="B120" s="159">
        <v>13.260890007019043</v>
      </c>
      <c r="C120" s="159">
        <v>750.263671875</v>
      </c>
      <c r="D120" s="159">
        <v>933.3849487304688</v>
      </c>
      <c r="E120" s="159">
        <v>0.699999988079071</v>
      </c>
      <c r="F120" s="159">
        <v>525.1845703125</v>
      </c>
      <c r="G120" s="159">
        <v>653.3694458007812</v>
      </c>
    </row>
    <row r="121" spans="2:7" ht="19.5" customHeight="1">
      <c r="B121" s="159">
        <v>13.36089038848877</v>
      </c>
      <c r="C121" s="159">
        <v>755.7040405273438</v>
      </c>
      <c r="D121" s="159">
        <v>910.7579956054688</v>
      </c>
      <c r="E121" s="159">
        <v>0.699999988079071</v>
      </c>
      <c r="F121" s="159">
        <v>528.9927978515625</v>
      </c>
      <c r="G121" s="159">
        <v>637.5305786132812</v>
      </c>
    </row>
    <row r="122" spans="2:7" ht="19.5" customHeight="1">
      <c r="B122" s="159">
        <v>13.460890769958496</v>
      </c>
      <c r="C122" s="159">
        <v>761.1123657226562</v>
      </c>
      <c r="D122" s="159">
        <v>887.9525146484375</v>
      </c>
      <c r="E122" s="159">
        <v>0.699999988079071</v>
      </c>
      <c r="F122" s="159">
        <v>532.7786254882812</v>
      </c>
      <c r="G122" s="159">
        <v>621.5667724609375</v>
      </c>
    </row>
    <row r="123" spans="2:7" ht="19.5" customHeight="1">
      <c r="B123" s="159">
        <v>13.560891151428223</v>
      </c>
      <c r="C123" s="159">
        <v>766.4894409179688</v>
      </c>
      <c r="D123" s="159">
        <v>864.9664916992188</v>
      </c>
      <c r="E123" s="159">
        <v>0.699999988079071</v>
      </c>
      <c r="F123" s="159">
        <v>533.8326416015625</v>
      </c>
      <c r="G123" s="159">
        <v>605.4765625</v>
      </c>
    </row>
    <row r="124" spans="2:7" ht="19.5" customHeight="1">
      <c r="B124" s="159">
        <v>13.66089153289795</v>
      </c>
      <c r="C124" s="159">
        <v>771.8359375</v>
      </c>
      <c r="D124" s="159">
        <v>841.7977294921875</v>
      </c>
      <c r="E124" s="159">
        <v>0.699999988079071</v>
      </c>
      <c r="F124" s="159">
        <v>533.8326416015625</v>
      </c>
      <c r="G124" s="159">
        <v>589.2584228515625</v>
      </c>
    </row>
    <row r="125" spans="2:7" ht="19.5" customHeight="1">
      <c r="B125" s="159">
        <v>13.588284492492676</v>
      </c>
      <c r="C125" s="159">
        <v>953.2725219726562</v>
      </c>
      <c r="D125" s="159">
        <v>858.6381225585938</v>
      </c>
      <c r="E125" s="159">
        <v>0.699999988079071</v>
      </c>
      <c r="F125" s="159">
        <v>533.8326416015625</v>
      </c>
      <c r="G125" s="159">
        <v>601.0466918945312</v>
      </c>
    </row>
    <row r="126" spans="2:7" ht="19.5" customHeight="1">
      <c r="B126" s="159"/>
      <c r="C126" s="159"/>
      <c r="D126" s="159"/>
      <c r="E126" s="159"/>
      <c r="F126" s="159"/>
      <c r="G126" s="159"/>
    </row>
    <row r="127" spans="2:7" ht="19.5" customHeight="1">
      <c r="B127" s="159"/>
      <c r="C127" s="159"/>
      <c r="D127" s="159"/>
      <c r="E127" s="159"/>
      <c r="F127" s="159"/>
      <c r="G127" s="159"/>
    </row>
    <row r="128" spans="2:7" ht="19.5" customHeight="1">
      <c r="B128" s="159"/>
      <c r="C128" s="159"/>
      <c r="D128" s="159"/>
      <c r="E128" s="159"/>
      <c r="F128" s="159"/>
      <c r="G128" s="159"/>
    </row>
    <row r="129" spans="2:7" ht="19.5" customHeight="1">
      <c r="B129" s="159"/>
      <c r="C129" s="159"/>
      <c r="D129" s="159"/>
      <c r="E129" s="159"/>
      <c r="F129" s="159"/>
      <c r="G129" s="159"/>
    </row>
    <row r="130" spans="2:7" ht="19.5" customHeight="1">
      <c r="B130" s="159"/>
      <c r="C130" s="159"/>
      <c r="D130" s="159"/>
      <c r="E130" s="159"/>
      <c r="F130" s="159"/>
      <c r="G130" s="159"/>
    </row>
    <row r="131" spans="2:7" ht="19.5" customHeight="1">
      <c r="B131" s="159"/>
      <c r="C131" s="159"/>
      <c r="D131" s="159"/>
      <c r="E131" s="159"/>
      <c r="F131" s="159"/>
      <c r="G131" s="159"/>
    </row>
    <row r="132" spans="2:7" ht="19.5" customHeight="1">
      <c r="B132" s="159"/>
      <c r="C132" s="159"/>
      <c r="D132" s="159"/>
      <c r="E132" s="159"/>
      <c r="F132" s="159"/>
      <c r="G132" s="159"/>
    </row>
    <row r="133" spans="2:7" ht="19.5" customHeight="1">
      <c r="B133" s="159"/>
      <c r="C133" s="159"/>
      <c r="D133" s="159"/>
      <c r="E133" s="159"/>
      <c r="F133" s="159"/>
      <c r="G133" s="159"/>
    </row>
    <row r="134" spans="2:7" ht="19.5" customHeight="1">
      <c r="B134" s="159"/>
      <c r="C134" s="159"/>
      <c r="D134" s="159"/>
      <c r="E134" s="159"/>
      <c r="F134" s="159"/>
      <c r="G134" s="159"/>
    </row>
    <row r="135" spans="2:7" ht="19.5" customHeight="1">
      <c r="B135" s="159"/>
      <c r="C135" s="159"/>
      <c r="D135" s="159"/>
      <c r="E135" s="159"/>
      <c r="F135" s="159"/>
      <c r="G135" s="159"/>
    </row>
    <row r="136" spans="2:7" ht="19.5" customHeight="1">
      <c r="B136" s="159"/>
      <c r="C136" s="159"/>
      <c r="D136" s="159"/>
      <c r="E136" s="159"/>
      <c r="F136" s="159"/>
      <c r="G136" s="159"/>
    </row>
    <row r="137" spans="2:7" ht="19.5" customHeight="1">
      <c r="B137" s="159"/>
      <c r="C137" s="159"/>
      <c r="D137" s="159"/>
      <c r="E137" s="159"/>
      <c r="F137" s="159"/>
      <c r="G137" s="159"/>
    </row>
    <row r="138" spans="2:7" ht="19.5" customHeight="1">
      <c r="B138" s="159"/>
      <c r="C138" s="159"/>
      <c r="D138" s="159"/>
      <c r="E138" s="159"/>
      <c r="F138" s="159"/>
      <c r="G138" s="159"/>
    </row>
    <row r="139" spans="2:7" ht="19.5" customHeight="1">
      <c r="B139" s="159"/>
      <c r="C139" s="159"/>
      <c r="D139" s="159"/>
      <c r="E139" s="159"/>
      <c r="F139" s="159"/>
      <c r="G139" s="159"/>
    </row>
    <row r="140" spans="2:7" ht="19.5" customHeight="1">
      <c r="B140" s="159"/>
      <c r="C140" s="159"/>
      <c r="D140" s="159"/>
      <c r="E140" s="159"/>
      <c r="F140" s="159"/>
      <c r="G140" s="159"/>
    </row>
    <row r="141" spans="2:7" ht="19.5" customHeight="1">
      <c r="B141" s="159"/>
      <c r="C141" s="159"/>
      <c r="D141" s="159"/>
      <c r="E141" s="159"/>
      <c r="F141" s="159"/>
      <c r="G141" s="159"/>
    </row>
    <row r="142" spans="2:7" ht="19.5" customHeight="1">
      <c r="B142" s="159"/>
      <c r="C142" s="159"/>
      <c r="D142" s="159"/>
      <c r="E142" s="159"/>
      <c r="F142" s="159"/>
      <c r="G142" s="159"/>
    </row>
    <row r="143" spans="2:7" ht="19.5" customHeight="1">
      <c r="B143" s="159"/>
      <c r="C143" s="159"/>
      <c r="D143" s="159"/>
      <c r="E143" s="159"/>
      <c r="F143" s="159"/>
      <c r="G143" s="159"/>
    </row>
    <row r="144" spans="2:7" ht="19.5" customHeight="1">
      <c r="B144" s="159"/>
      <c r="C144" s="159"/>
      <c r="D144" s="159"/>
      <c r="E144" s="159"/>
      <c r="F144" s="159"/>
      <c r="G144" s="159"/>
    </row>
    <row r="145" spans="2:7" ht="19.5" customHeight="1">
      <c r="B145" s="159"/>
      <c r="C145" s="159"/>
      <c r="D145" s="159"/>
      <c r="E145" s="159"/>
      <c r="F145" s="159"/>
      <c r="G145" s="159"/>
    </row>
    <row r="146" spans="2:7" ht="19.5" customHeight="1">
      <c r="B146" s="159"/>
      <c r="C146" s="159"/>
      <c r="D146" s="159"/>
      <c r="E146" s="159"/>
      <c r="F146" s="159"/>
      <c r="G146" s="159"/>
    </row>
    <row r="147" spans="2:7" ht="19.5" customHeight="1">
      <c r="B147" s="159"/>
      <c r="C147" s="159"/>
      <c r="D147" s="159"/>
      <c r="E147" s="159"/>
      <c r="F147" s="159"/>
      <c r="G147" s="159"/>
    </row>
    <row r="148" spans="2:7" ht="19.5" customHeight="1">
      <c r="B148" s="159"/>
      <c r="C148" s="159"/>
      <c r="D148" s="159"/>
      <c r="E148" s="159"/>
      <c r="F148" s="159"/>
      <c r="G148" s="159"/>
    </row>
    <row r="149" spans="2:7" ht="19.5" customHeight="1">
      <c r="B149" s="159"/>
      <c r="C149" s="159"/>
      <c r="D149" s="159"/>
      <c r="E149" s="159"/>
      <c r="F149" s="159"/>
      <c r="G149" s="159"/>
    </row>
    <row r="150" spans="2:7" ht="19.5" customHeight="1">
      <c r="B150" s="159"/>
      <c r="C150" s="159"/>
      <c r="D150" s="159"/>
      <c r="E150" s="159"/>
      <c r="F150" s="159"/>
      <c r="G150" s="159"/>
    </row>
    <row r="151" spans="2:7" ht="19.5" customHeight="1">
      <c r="B151" s="159"/>
      <c r="C151" s="159"/>
      <c r="D151" s="159"/>
      <c r="E151" s="159"/>
      <c r="F151" s="159"/>
      <c r="G151" s="159"/>
    </row>
    <row r="152" spans="2:7" ht="19.5" customHeight="1">
      <c r="B152" s="159"/>
      <c r="C152" s="159"/>
      <c r="D152" s="159"/>
      <c r="E152" s="159"/>
      <c r="F152" s="159"/>
      <c r="G152" s="159"/>
    </row>
    <row r="153" spans="2:7" ht="19.5" customHeight="1">
      <c r="B153" s="159"/>
      <c r="C153" s="159"/>
      <c r="D153" s="159"/>
      <c r="E153" s="159"/>
      <c r="F153" s="159"/>
      <c r="G153" s="159"/>
    </row>
    <row r="154" spans="2:7" ht="19.5" customHeight="1">
      <c r="B154" s="159"/>
      <c r="C154" s="159"/>
      <c r="D154" s="159"/>
      <c r="E154" s="159"/>
      <c r="F154" s="159"/>
      <c r="G154" s="159"/>
    </row>
    <row r="155" spans="2:7" ht="19.5" customHeight="1">
      <c r="B155" s="159"/>
      <c r="C155" s="159"/>
      <c r="D155" s="159"/>
      <c r="E155" s="159"/>
      <c r="F155" s="159"/>
      <c r="G155" s="159"/>
    </row>
    <row r="156" spans="2:7" ht="19.5" customHeight="1">
      <c r="B156" s="159"/>
      <c r="C156" s="159"/>
      <c r="D156" s="159"/>
      <c r="E156" s="159"/>
      <c r="F156" s="159"/>
      <c r="G156" s="159"/>
    </row>
    <row r="157" spans="2:7" ht="19.5" customHeight="1">
      <c r="B157" s="159"/>
      <c r="C157" s="159"/>
      <c r="D157" s="159"/>
      <c r="E157" s="159"/>
      <c r="F157" s="159"/>
      <c r="G157" s="159"/>
    </row>
    <row r="158" spans="2:7" ht="19.5" customHeight="1">
      <c r="B158" s="159"/>
      <c r="C158" s="159"/>
      <c r="D158" s="159"/>
      <c r="E158" s="159"/>
      <c r="F158" s="159"/>
      <c r="G158" s="159"/>
    </row>
    <row r="159" spans="2:7" ht="19.5" customHeight="1">
      <c r="B159" s="159"/>
      <c r="C159" s="159"/>
      <c r="D159" s="159"/>
      <c r="E159" s="159"/>
      <c r="F159" s="159"/>
      <c r="G159" s="159"/>
    </row>
    <row r="160" spans="2:7" ht="19.5" customHeight="1">
      <c r="B160" s="159"/>
      <c r="C160" s="159"/>
      <c r="D160" s="159"/>
      <c r="E160" s="159"/>
      <c r="F160" s="159"/>
      <c r="G160" s="159"/>
    </row>
    <row r="161" spans="2:7" ht="19.5" customHeight="1">
      <c r="B161" s="159"/>
      <c r="C161" s="159"/>
      <c r="D161" s="159"/>
      <c r="E161" s="159"/>
      <c r="F161" s="159"/>
      <c r="G161" s="159"/>
    </row>
    <row r="162" spans="2:7" ht="19.5" customHeight="1">
      <c r="B162" s="159"/>
      <c r="C162" s="159"/>
      <c r="D162" s="159"/>
      <c r="E162" s="159"/>
      <c r="F162" s="159"/>
      <c r="G162" s="159"/>
    </row>
    <row r="163" spans="2:7" ht="19.5" customHeight="1">
      <c r="B163" s="159"/>
      <c r="C163" s="159"/>
      <c r="D163" s="159"/>
      <c r="E163" s="159"/>
      <c r="F163" s="159"/>
      <c r="G163" s="159"/>
    </row>
    <row r="164" spans="2:7" ht="19.5" customHeight="1">
      <c r="B164" s="159"/>
      <c r="C164" s="159"/>
      <c r="D164" s="159"/>
      <c r="E164" s="159"/>
      <c r="F164" s="159"/>
      <c r="G164" s="159"/>
    </row>
    <row r="165" spans="2:7" ht="19.5" customHeight="1">
      <c r="B165" s="159"/>
      <c r="C165" s="159"/>
      <c r="D165" s="159"/>
      <c r="E165" s="159"/>
      <c r="F165" s="159"/>
      <c r="G165" s="159"/>
    </row>
    <row r="166" spans="2:7" ht="19.5" customHeight="1">
      <c r="B166" s="159"/>
      <c r="C166" s="159"/>
      <c r="D166" s="159"/>
      <c r="E166" s="159"/>
      <c r="F166" s="159"/>
      <c r="G166" s="159"/>
    </row>
    <row r="167" spans="2:7" ht="19.5" customHeight="1">
      <c r="B167" s="159"/>
      <c r="C167" s="159"/>
      <c r="D167" s="159"/>
      <c r="E167" s="159"/>
      <c r="F167" s="159"/>
      <c r="G167" s="159"/>
    </row>
    <row r="168" spans="2:7" ht="19.5" customHeight="1">
      <c r="B168" s="159"/>
      <c r="C168" s="159"/>
      <c r="D168" s="159"/>
      <c r="E168" s="159"/>
      <c r="F168" s="159"/>
      <c r="G168" s="159"/>
    </row>
    <row r="169" spans="2:7" ht="19.5" customHeight="1">
      <c r="B169" s="159"/>
      <c r="C169" s="159"/>
      <c r="D169" s="159"/>
      <c r="E169" s="159"/>
      <c r="F169" s="159"/>
      <c r="G169" s="159"/>
    </row>
    <row r="170" spans="2:7" ht="19.5" customHeight="1">
      <c r="B170" s="159"/>
      <c r="C170" s="159"/>
      <c r="D170" s="159"/>
      <c r="E170" s="159"/>
      <c r="F170" s="159"/>
      <c r="G170" s="159"/>
    </row>
    <row r="171" spans="2:7" ht="19.5" customHeight="1">
      <c r="B171" s="159"/>
      <c r="C171" s="159"/>
      <c r="D171" s="159"/>
      <c r="E171" s="159"/>
      <c r="F171" s="159"/>
      <c r="G171" s="159"/>
    </row>
    <row r="172" spans="2:7" ht="19.5" customHeight="1">
      <c r="B172" s="159"/>
      <c r="C172" s="159"/>
      <c r="D172" s="159"/>
      <c r="E172" s="159"/>
      <c r="F172" s="159"/>
      <c r="G172" s="159"/>
    </row>
    <row r="173" spans="2:7" ht="19.5" customHeight="1">
      <c r="B173" s="159"/>
      <c r="C173" s="159"/>
      <c r="D173" s="159"/>
      <c r="E173" s="159"/>
      <c r="F173" s="159"/>
      <c r="G173" s="159"/>
    </row>
    <row r="174" spans="2:7" ht="19.5" customHeight="1">
      <c r="B174" s="159"/>
      <c r="C174" s="159"/>
      <c r="D174" s="159"/>
      <c r="E174" s="159"/>
      <c r="F174" s="159"/>
      <c r="G174" s="159"/>
    </row>
    <row r="175" spans="2:7" ht="19.5" customHeight="1">
      <c r="B175" s="159"/>
      <c r="C175" s="159"/>
      <c r="D175" s="159"/>
      <c r="E175" s="159"/>
      <c r="F175" s="159"/>
      <c r="G175" s="159"/>
    </row>
    <row r="176" spans="2:7" ht="19.5" customHeight="1">
      <c r="B176" s="159"/>
      <c r="C176" s="159"/>
      <c r="D176" s="159"/>
      <c r="E176" s="159"/>
      <c r="F176" s="159"/>
      <c r="G176" s="159"/>
    </row>
    <row r="177" spans="2:7" ht="19.5" customHeight="1">
      <c r="B177" s="159"/>
      <c r="C177" s="159"/>
      <c r="D177" s="159"/>
      <c r="E177" s="159"/>
      <c r="F177" s="159"/>
      <c r="G177" s="159"/>
    </row>
    <row r="178" spans="2:7" ht="19.5" customHeight="1">
      <c r="B178" s="159"/>
      <c r="C178" s="159"/>
      <c r="D178" s="159"/>
      <c r="E178" s="159"/>
      <c r="F178" s="159"/>
      <c r="G178" s="159"/>
    </row>
    <row r="179" spans="2:7" ht="19.5" customHeight="1">
      <c r="B179" s="159"/>
      <c r="C179" s="159"/>
      <c r="D179" s="159"/>
      <c r="E179" s="159"/>
      <c r="F179" s="159"/>
      <c r="G179" s="159"/>
    </row>
    <row r="180" spans="2:7" ht="19.5" customHeight="1">
      <c r="B180" s="159"/>
      <c r="C180" s="159"/>
      <c r="D180" s="159"/>
      <c r="E180" s="159"/>
      <c r="F180" s="159"/>
      <c r="G180" s="159"/>
    </row>
    <row r="181" spans="2:7" ht="19.5" customHeight="1">
      <c r="B181" s="159"/>
      <c r="C181" s="159"/>
      <c r="D181" s="159"/>
      <c r="E181" s="159"/>
      <c r="F181" s="159"/>
      <c r="G181" s="159"/>
    </row>
    <row r="182" spans="2:7" ht="19.5" customHeight="1">
      <c r="B182" s="159"/>
      <c r="C182" s="159"/>
      <c r="D182" s="159"/>
      <c r="E182" s="159"/>
      <c r="F182" s="159"/>
      <c r="G182" s="159"/>
    </row>
    <row r="183" spans="2:7" ht="19.5" customHeight="1">
      <c r="B183" s="159"/>
      <c r="C183" s="159"/>
      <c r="D183" s="159"/>
      <c r="E183" s="159"/>
      <c r="F183" s="159"/>
      <c r="G183" s="159"/>
    </row>
    <row r="184" spans="2:7" ht="19.5" customHeight="1">
      <c r="B184" s="159"/>
      <c r="C184" s="159"/>
      <c r="D184" s="159"/>
      <c r="E184" s="159"/>
      <c r="F184" s="159"/>
      <c r="G184" s="159"/>
    </row>
    <row r="185" spans="2:7" ht="19.5" customHeight="1">
      <c r="B185" s="159"/>
      <c r="C185" s="159"/>
      <c r="D185" s="159"/>
      <c r="E185" s="159"/>
      <c r="F185" s="159"/>
      <c r="G185" s="159"/>
    </row>
    <row r="186" spans="2:7" ht="19.5" customHeight="1">
      <c r="B186" s="159"/>
      <c r="C186" s="159"/>
      <c r="D186" s="159"/>
      <c r="E186" s="159"/>
      <c r="F186" s="159"/>
      <c r="G186" s="159"/>
    </row>
    <row r="187" spans="2:7" ht="19.5" customHeight="1">
      <c r="B187" s="159"/>
      <c r="C187" s="159"/>
      <c r="D187" s="159"/>
      <c r="E187" s="159"/>
      <c r="F187" s="159"/>
      <c r="G187" s="159"/>
    </row>
    <row r="188" spans="2:7" ht="19.5" customHeight="1">
      <c r="B188" s="159"/>
      <c r="C188" s="159"/>
      <c r="D188" s="159"/>
      <c r="E188" s="159"/>
      <c r="F188" s="159"/>
      <c r="G188" s="159"/>
    </row>
    <row r="189" spans="2:7" ht="19.5" customHeight="1">
      <c r="B189" s="159"/>
      <c r="C189" s="159"/>
      <c r="D189" s="159"/>
      <c r="E189" s="159"/>
      <c r="F189" s="159"/>
      <c r="G189" s="159"/>
    </row>
    <row r="190" spans="2:7" ht="19.5" customHeight="1">
      <c r="B190" s="159"/>
      <c r="C190" s="159"/>
      <c r="D190" s="159"/>
      <c r="E190" s="159"/>
      <c r="F190" s="159"/>
      <c r="G190" s="159"/>
    </row>
    <row r="191" spans="2:7" ht="19.5" customHeight="1">
      <c r="B191" s="159"/>
      <c r="C191" s="159"/>
      <c r="D191" s="159"/>
      <c r="E191" s="159"/>
      <c r="F191" s="159"/>
      <c r="G191" s="159"/>
    </row>
    <row r="192" spans="2:7" ht="19.5" customHeight="1">
      <c r="B192" s="159"/>
      <c r="C192" s="159"/>
      <c r="D192" s="159"/>
      <c r="E192" s="159"/>
      <c r="F192" s="159"/>
      <c r="G192" s="159"/>
    </row>
    <row r="193" spans="2:7" ht="19.5" customHeight="1">
      <c r="B193" s="159"/>
      <c r="C193" s="159"/>
      <c r="D193" s="159"/>
      <c r="E193" s="159"/>
      <c r="F193" s="159"/>
      <c r="G193" s="159"/>
    </row>
    <row r="194" spans="2:7" ht="19.5" customHeight="1">
      <c r="B194" s="159"/>
      <c r="C194" s="159"/>
      <c r="D194" s="159"/>
      <c r="E194" s="159"/>
      <c r="F194" s="159"/>
      <c r="G194" s="159"/>
    </row>
    <row r="195" spans="2:7" ht="19.5" customHeight="1">
      <c r="B195" s="159"/>
      <c r="C195" s="159"/>
      <c r="D195" s="159"/>
      <c r="E195" s="159"/>
      <c r="F195" s="159"/>
      <c r="G195" s="159"/>
    </row>
    <row r="196" spans="2:7" ht="19.5" customHeight="1">
      <c r="B196" s="159"/>
      <c r="C196" s="159"/>
      <c r="D196" s="159"/>
      <c r="E196" s="159"/>
      <c r="F196" s="159"/>
      <c r="G196" s="159"/>
    </row>
    <row r="197" spans="2:7" ht="19.5" customHeight="1">
      <c r="B197" s="159"/>
      <c r="C197" s="159"/>
      <c r="D197" s="159"/>
      <c r="E197" s="159"/>
      <c r="F197" s="159"/>
      <c r="G197" s="159"/>
    </row>
    <row r="198" spans="2:7" ht="19.5" customHeight="1">
      <c r="B198" s="159"/>
      <c r="C198" s="159"/>
      <c r="D198" s="159"/>
      <c r="E198" s="159"/>
      <c r="F198" s="159"/>
      <c r="G198" s="159"/>
    </row>
    <row r="199" spans="2:7" ht="19.5" customHeight="1">
      <c r="B199" s="160"/>
      <c r="C199" s="160"/>
      <c r="D199" s="160"/>
      <c r="E199" s="160"/>
      <c r="F199" s="160"/>
      <c r="G199" s="16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14.875" style="177" customWidth="1"/>
    <col min="2" max="2" width="11.875" style="177" customWidth="1"/>
    <col min="3" max="3" width="24.125" style="177" bestFit="1" customWidth="1"/>
    <col min="4" max="16384" width="9.00390625" style="177" customWidth="1"/>
  </cols>
  <sheetData>
    <row r="2" spans="1:5" ht="15.75">
      <c r="A2" s="259" t="s">
        <v>312</v>
      </c>
      <c r="B2" s="259"/>
      <c r="C2" s="178" t="s">
        <v>98</v>
      </c>
      <c r="D2" s="174">
        <v>15</v>
      </c>
      <c r="E2" s="179" t="s">
        <v>15</v>
      </c>
    </row>
    <row r="3" spans="1:5" ht="15.75">
      <c r="A3" s="259" t="s">
        <v>314</v>
      </c>
      <c r="B3" s="259"/>
      <c r="C3" s="178" t="s">
        <v>315</v>
      </c>
      <c r="D3" s="174">
        <v>13</v>
      </c>
      <c r="E3" s="179" t="s">
        <v>13</v>
      </c>
    </row>
    <row r="4" spans="3:7" ht="15.75">
      <c r="C4" s="168" t="s">
        <v>193</v>
      </c>
      <c r="D4" s="166">
        <v>15</v>
      </c>
      <c r="E4" s="168" t="s">
        <v>15</v>
      </c>
      <c r="F4" s="168"/>
      <c r="G4" s="168"/>
    </row>
    <row r="5" spans="3:7" ht="15.75">
      <c r="C5" s="168" t="s">
        <v>194</v>
      </c>
      <c r="D5" s="166">
        <v>15</v>
      </c>
      <c r="E5" s="168" t="s">
        <v>15</v>
      </c>
      <c r="F5" s="168"/>
      <c r="G5" s="168"/>
    </row>
    <row r="6" spans="1:7" ht="15.75">
      <c r="A6" s="259" t="s">
        <v>313</v>
      </c>
      <c r="B6" s="259"/>
      <c r="C6" s="168" t="s">
        <v>120</v>
      </c>
      <c r="D6" s="168">
        <f>D3-D2/12</f>
        <v>11.75</v>
      </c>
      <c r="E6" s="168" t="s">
        <v>13</v>
      </c>
      <c r="F6" s="168"/>
      <c r="G6" s="168"/>
    </row>
    <row r="7" spans="3:7" ht="15.75">
      <c r="C7" s="168" t="s">
        <v>129</v>
      </c>
      <c r="D7" s="166">
        <v>1.5</v>
      </c>
      <c r="E7" s="168" t="s">
        <v>15</v>
      </c>
      <c r="F7" s="168"/>
      <c r="G7" s="168"/>
    </row>
    <row r="8" spans="3:7" ht="15.75">
      <c r="C8" s="168" t="s">
        <v>307</v>
      </c>
      <c r="D8" s="168">
        <f>D4-D7</f>
        <v>13.5</v>
      </c>
      <c r="E8" s="168" t="s">
        <v>15</v>
      </c>
      <c r="F8" s="168"/>
      <c r="G8" s="168"/>
    </row>
    <row r="9" spans="3:7" ht="15.75">
      <c r="C9" s="169" t="s">
        <v>308</v>
      </c>
      <c r="D9" s="169">
        <f>D5-D7</f>
        <v>13.5</v>
      </c>
      <c r="E9" s="169" t="s">
        <v>15</v>
      </c>
      <c r="F9" s="169"/>
      <c r="G9" s="169"/>
    </row>
    <row r="10" spans="3:7" ht="15.75">
      <c r="C10" s="180"/>
      <c r="D10" s="180"/>
      <c r="E10" s="180"/>
      <c r="F10" s="180"/>
      <c r="G10" s="180"/>
    </row>
    <row r="11" spans="3:7" ht="15.75">
      <c r="C11" s="180"/>
      <c r="D11" s="180"/>
      <c r="E11" s="180"/>
      <c r="F11" s="180"/>
      <c r="G11" s="180"/>
    </row>
    <row r="12" spans="3:7" ht="15.75">
      <c r="C12" s="170" t="s">
        <v>296</v>
      </c>
      <c r="D12" s="261">
        <f>6/8</f>
        <v>0.75</v>
      </c>
      <c r="E12" s="261"/>
      <c r="F12" s="168"/>
      <c r="G12" s="168"/>
    </row>
    <row r="13" spans="3:7" ht="15.75">
      <c r="C13" s="170" t="s">
        <v>311</v>
      </c>
      <c r="D13" s="166">
        <f>3/8</f>
        <v>0.375</v>
      </c>
      <c r="E13" s="166">
        <f>4/8</f>
        <v>0.5</v>
      </c>
      <c r="F13" s="168"/>
      <c r="G13" s="168"/>
    </row>
    <row r="14" spans="6:7" ht="15.75">
      <c r="F14" s="168"/>
      <c r="G14" s="168"/>
    </row>
    <row r="15" spans="1:8" ht="15.75">
      <c r="A15" s="258" t="s">
        <v>310</v>
      </c>
      <c r="B15" s="258"/>
      <c r="C15" s="258"/>
      <c r="D15" s="172">
        <f>MIN(16*D12,48*E13,MIN(D4:D5),9)</f>
        <v>9</v>
      </c>
      <c r="E15" s="167" t="s">
        <v>258</v>
      </c>
      <c r="F15" s="181"/>
      <c r="G15" s="181"/>
      <c r="H15" s="180"/>
    </row>
    <row r="16" spans="1:8" ht="15.75">
      <c r="A16" s="182"/>
      <c r="B16" s="182"/>
      <c r="C16" s="170"/>
      <c r="D16" s="173"/>
      <c r="E16" s="168"/>
      <c r="F16" s="168"/>
      <c r="G16" s="168"/>
      <c r="H16" s="180"/>
    </row>
    <row r="17" spans="1:8" ht="15.75">
      <c r="A17" s="258" t="s">
        <v>319</v>
      </c>
      <c r="B17" s="258"/>
      <c r="C17" s="258"/>
      <c r="D17" s="172">
        <f>MIN(16*D12,48*D13,MIN(D4:D5),9)</f>
        <v>9</v>
      </c>
      <c r="E17" s="167" t="s">
        <v>258</v>
      </c>
      <c r="F17" s="181"/>
      <c r="G17" s="181"/>
      <c r="H17" s="180"/>
    </row>
    <row r="18" spans="1:8" ht="15.75">
      <c r="A18" s="182"/>
      <c r="B18" s="182"/>
      <c r="C18" s="170"/>
      <c r="D18" s="173"/>
      <c r="E18" s="168"/>
      <c r="F18" s="168"/>
      <c r="G18" s="168"/>
      <c r="H18" s="180"/>
    </row>
    <row r="19" spans="1:12" ht="16.5">
      <c r="A19" s="262" t="s">
        <v>306</v>
      </c>
      <c r="B19" s="262"/>
      <c r="C19" s="262"/>
      <c r="D19" s="172">
        <f>MIN(MIN(D8:D9)/4,4)</f>
        <v>3.375</v>
      </c>
      <c r="E19" s="167" t="s">
        <v>258</v>
      </c>
      <c r="F19" s="168" t="s">
        <v>320</v>
      </c>
      <c r="G19" s="260" t="s">
        <v>321</v>
      </c>
      <c r="H19" s="260"/>
      <c r="I19" s="183">
        <f>50*D12</f>
        <v>37.5</v>
      </c>
      <c r="J19" s="188" t="s">
        <v>15</v>
      </c>
      <c r="K19" s="171"/>
      <c r="L19" s="171"/>
    </row>
    <row r="20" spans="1:7" ht="16.5">
      <c r="A20" s="182"/>
      <c r="B20" s="182"/>
      <c r="C20" s="182"/>
      <c r="D20" s="184"/>
      <c r="F20" s="180"/>
      <c r="G20" s="180"/>
    </row>
    <row r="21" spans="1:12" ht="15.75">
      <c r="A21" s="258" t="s">
        <v>309</v>
      </c>
      <c r="B21" s="258"/>
      <c r="C21" s="258"/>
      <c r="D21" s="185">
        <f>MIN(MIN(D4:D5)/4,6*D12,4)</f>
        <v>3.75</v>
      </c>
      <c r="E21" s="186" t="s">
        <v>258</v>
      </c>
      <c r="F21" s="187" t="s">
        <v>316</v>
      </c>
      <c r="G21" s="175" t="s">
        <v>317</v>
      </c>
      <c r="H21" s="176">
        <f>MAX(D2,D6/72,18)</f>
        <v>18</v>
      </c>
      <c r="I21" s="176" t="s">
        <v>15</v>
      </c>
      <c r="J21" s="188" t="s">
        <v>318</v>
      </c>
      <c r="K21" s="188"/>
      <c r="L21" s="188"/>
    </row>
  </sheetData>
  <sheetProtection/>
  <mergeCells count="9">
    <mergeCell ref="G19:H19"/>
    <mergeCell ref="D12:E12"/>
    <mergeCell ref="A19:C19"/>
    <mergeCell ref="A21:C21"/>
    <mergeCell ref="A17:C17"/>
    <mergeCell ref="A15:C15"/>
    <mergeCell ref="A2:B2"/>
    <mergeCell ref="A6:B6"/>
    <mergeCell ref="A3:B3"/>
  </mergeCells>
  <printOptions/>
  <pageMargins left="0.7" right="0.7" top="0.75" bottom="0.75" header="0.3" footer="0.3"/>
  <pageSetup orientation="portrait" paperSize="9"/>
  <ignoredErrors>
    <ignoredError sqref="D15 D21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61">
      <selection activeCell="I61" sqref="I61"/>
    </sheetView>
  </sheetViews>
  <sheetFormatPr defaultColWidth="9.00390625" defaultRowHeight="13.5"/>
  <cols>
    <col min="1" max="1" width="17.125" style="0" bestFit="1" customWidth="1"/>
    <col min="3" max="3" width="9.125" style="0" bestFit="1" customWidth="1"/>
    <col min="7" max="7" width="4.875" style="0" bestFit="1" customWidth="1"/>
    <col min="8" max="8" width="4.625" style="0" bestFit="1" customWidth="1"/>
    <col min="9" max="9" width="4.875" style="0" bestFit="1" customWidth="1"/>
    <col min="10" max="10" width="6.25390625" style="0" bestFit="1" customWidth="1"/>
    <col min="11" max="11" width="5.625" style="0" bestFit="1" customWidth="1"/>
  </cols>
  <sheetData>
    <row r="1" spans="1:6" ht="35.25">
      <c r="A1" s="270" t="s">
        <v>248</v>
      </c>
      <c r="B1" s="270"/>
      <c r="C1" s="270"/>
      <c r="D1" s="270"/>
      <c r="E1" s="270"/>
      <c r="F1" s="270"/>
    </row>
    <row r="2" spans="1:15" ht="13.5">
      <c r="A2" t="s">
        <v>225</v>
      </c>
      <c r="C2" s="99">
        <v>20</v>
      </c>
      <c r="L2" s="96" t="s">
        <v>227</v>
      </c>
      <c r="M2" s="102" t="s">
        <v>226</v>
      </c>
      <c r="N2" s="102" t="s">
        <v>228</v>
      </c>
      <c r="O2" s="102" t="s">
        <v>229</v>
      </c>
    </row>
    <row r="3" spans="1:15" ht="13.5">
      <c r="A3" t="s">
        <v>192</v>
      </c>
      <c r="B3" t="s">
        <v>193</v>
      </c>
      <c r="C3" s="99">
        <v>13</v>
      </c>
      <c r="D3" t="s">
        <v>15</v>
      </c>
      <c r="L3" s="96" t="s">
        <v>225</v>
      </c>
      <c r="M3" s="102">
        <v>40</v>
      </c>
      <c r="N3" s="102">
        <v>30</v>
      </c>
      <c r="O3" s="102">
        <v>20</v>
      </c>
    </row>
    <row r="4" spans="2:4" ht="13.5">
      <c r="B4" t="s">
        <v>194</v>
      </c>
      <c r="C4" s="99">
        <v>13</v>
      </c>
      <c r="D4" t="s">
        <v>15</v>
      </c>
    </row>
    <row r="5" spans="1:15" ht="13.5">
      <c r="A5" t="s">
        <v>204</v>
      </c>
      <c r="C5" s="99"/>
      <c r="D5" t="s">
        <v>205</v>
      </c>
      <c r="L5" s="96" t="s">
        <v>223</v>
      </c>
      <c r="M5" s="96" t="s">
        <v>222</v>
      </c>
      <c r="N5" s="96">
        <f>MAX(C3:C4)/MIN(C3:C4)</f>
        <v>1</v>
      </c>
      <c r="O5" s="96"/>
    </row>
    <row r="6" spans="1:4" ht="13.5">
      <c r="A6" t="s">
        <v>206</v>
      </c>
      <c r="C6" s="99"/>
      <c r="D6" t="s">
        <v>205</v>
      </c>
    </row>
    <row r="7" spans="1:4" ht="13.5">
      <c r="A7" s="103" t="s">
        <v>252</v>
      </c>
      <c r="C7" s="99">
        <v>210</v>
      </c>
      <c r="D7" s="103" t="s">
        <v>205</v>
      </c>
    </row>
    <row r="8" spans="1:4" ht="13.5">
      <c r="A8" t="s">
        <v>249</v>
      </c>
      <c r="C8" s="99">
        <v>230</v>
      </c>
      <c r="D8" t="s">
        <v>205</v>
      </c>
    </row>
    <row r="9" spans="1:4" ht="13.5">
      <c r="A9" t="s">
        <v>250</v>
      </c>
      <c r="B9" t="s">
        <v>251</v>
      </c>
      <c r="C9" s="99">
        <v>5</v>
      </c>
      <c r="D9" t="s">
        <v>13</v>
      </c>
    </row>
    <row r="10" spans="1:6" ht="13.5">
      <c r="A10" t="s">
        <v>196</v>
      </c>
      <c r="C10" s="99">
        <v>6</v>
      </c>
      <c r="D10" t="s">
        <v>15</v>
      </c>
      <c r="E10">
        <v>150</v>
      </c>
      <c r="F10" t="s">
        <v>92</v>
      </c>
    </row>
    <row r="11" spans="1:6" ht="13.5">
      <c r="A11" t="s">
        <v>197</v>
      </c>
      <c r="C11" s="99">
        <f>C9*12-C16-C10</f>
        <v>39</v>
      </c>
      <c r="D11" t="s">
        <v>15</v>
      </c>
      <c r="E11">
        <v>120</v>
      </c>
      <c r="F11" t="s">
        <v>92</v>
      </c>
    </row>
    <row r="12" spans="1:4" ht="13.5">
      <c r="A12" t="s">
        <v>198</v>
      </c>
      <c r="C12" s="99">
        <f>10*2204/10/8</f>
        <v>275.5</v>
      </c>
      <c r="D12" t="s">
        <v>199</v>
      </c>
    </row>
    <row r="13" spans="1:4" ht="13.5">
      <c r="A13" t="s">
        <v>200</v>
      </c>
      <c r="C13" s="99">
        <f>2*2204</f>
        <v>4408</v>
      </c>
      <c r="D13" t="s">
        <v>199</v>
      </c>
    </row>
    <row r="14" spans="1:7" ht="13.5">
      <c r="A14" s="274" t="s">
        <v>254</v>
      </c>
      <c r="B14" s="274"/>
      <c r="C14" s="274"/>
      <c r="D14" s="274"/>
      <c r="E14" s="274"/>
      <c r="F14" s="274"/>
      <c r="G14" s="274"/>
    </row>
    <row r="15" spans="3:4" ht="13.5">
      <c r="C15">
        <f>C3</f>
        <v>13</v>
      </c>
      <c r="D15" t="s">
        <v>15</v>
      </c>
    </row>
    <row r="16" spans="2:6" ht="13.5">
      <c r="B16" t="s">
        <v>203</v>
      </c>
      <c r="C16" s="99">
        <v>15</v>
      </c>
      <c r="D16" t="s">
        <v>15</v>
      </c>
      <c r="E16">
        <v>150</v>
      </c>
      <c r="F16" t="s">
        <v>92</v>
      </c>
    </row>
    <row r="17" spans="2:4" ht="13.5">
      <c r="B17" t="s">
        <v>128</v>
      </c>
      <c r="C17">
        <f>C16-3-1</f>
        <v>11</v>
      </c>
      <c r="D17" t="s">
        <v>15</v>
      </c>
    </row>
    <row r="18" ht="13.5">
      <c r="A18" t="s">
        <v>195</v>
      </c>
    </row>
    <row r="19" spans="2:4" ht="13.5">
      <c r="B19" t="s">
        <v>70</v>
      </c>
      <c r="C19" s="99">
        <v>3500</v>
      </c>
      <c r="D19" t="s">
        <v>91</v>
      </c>
    </row>
    <row r="20" spans="2:4" ht="13.5">
      <c r="B20" t="s">
        <v>5</v>
      </c>
      <c r="C20" s="99">
        <v>60000</v>
      </c>
      <c r="D20" t="s">
        <v>91</v>
      </c>
    </row>
    <row r="24" spans="1:2" ht="13.5">
      <c r="A24" s="239" t="s">
        <v>201</v>
      </c>
      <c r="B24" s="239"/>
    </row>
    <row r="25" spans="2:4" ht="13.5">
      <c r="B25" t="s">
        <v>202</v>
      </c>
      <c r="C25">
        <f>(C13-(C16/12*E16+C10/12*E10+C11/12*E11+C12))/1000</f>
        <v>3.48</v>
      </c>
      <c r="D25" t="s">
        <v>208</v>
      </c>
    </row>
    <row r="26" spans="1:2" ht="13.5">
      <c r="A26" s="239" t="s">
        <v>207</v>
      </c>
      <c r="B26" s="239"/>
    </row>
    <row r="27" spans="2:4" ht="13.5">
      <c r="B27" t="s">
        <v>27</v>
      </c>
      <c r="C27">
        <f>(C7)/C25</f>
        <v>60.3448275862069</v>
      </c>
      <c r="D27" t="s">
        <v>209</v>
      </c>
    </row>
    <row r="28" ht="13.5">
      <c r="A28" t="s">
        <v>211</v>
      </c>
    </row>
    <row r="29" spans="2:4" ht="13.5">
      <c r="B29" t="s">
        <v>210</v>
      </c>
      <c r="C29">
        <f>C27^0.5</f>
        <v>7.768193328323317</v>
      </c>
      <c r="D29" t="s">
        <v>13</v>
      </c>
    </row>
    <row r="30" spans="2:4" ht="13.5">
      <c r="B30" t="s">
        <v>203</v>
      </c>
      <c r="C30" s="99">
        <v>6</v>
      </c>
      <c r="D30" t="s">
        <v>13</v>
      </c>
    </row>
    <row r="31" spans="2:4" ht="13.5">
      <c r="B31" t="s">
        <v>27</v>
      </c>
      <c r="C31">
        <f>C30^2</f>
        <v>36</v>
      </c>
      <c r="D31" t="s">
        <v>209</v>
      </c>
    </row>
    <row r="32" spans="1:3" ht="13.5">
      <c r="A32" s="239" t="s">
        <v>212</v>
      </c>
      <c r="B32" s="239"/>
      <c r="C32" s="239"/>
    </row>
    <row r="33" spans="2:4" ht="13.5">
      <c r="B33" t="s">
        <v>213</v>
      </c>
      <c r="C33" s="83">
        <f>(C8)/C31</f>
        <v>6.388888888888889</v>
      </c>
      <c r="D33" t="s">
        <v>208</v>
      </c>
    </row>
    <row r="35" spans="1:6" ht="16.5">
      <c r="A35" s="269" t="s">
        <v>214</v>
      </c>
      <c r="B35" s="269"/>
      <c r="C35" s="269"/>
      <c r="D35" s="269"/>
      <c r="E35" s="269"/>
      <c r="F35" s="269"/>
    </row>
    <row r="37" ht="13.5">
      <c r="A37" t="s">
        <v>215</v>
      </c>
    </row>
    <row r="38" spans="2:4" ht="13.5">
      <c r="B38" t="s">
        <v>216</v>
      </c>
      <c r="C38">
        <f>((C3+C17)/12)^2</f>
        <v>4</v>
      </c>
      <c r="D38" t="s">
        <v>209</v>
      </c>
    </row>
    <row r="39" spans="1:2" ht="13.5">
      <c r="A39" s="239" t="s">
        <v>218</v>
      </c>
      <c r="B39" s="239"/>
    </row>
    <row r="40" spans="1:4" ht="13.5">
      <c r="A40" s="95"/>
      <c r="B40" s="95" t="s">
        <v>219</v>
      </c>
      <c r="C40">
        <f>4*(C3+C17)</f>
        <v>96</v>
      </c>
      <c r="D40" t="s">
        <v>15</v>
      </c>
    </row>
    <row r="41" spans="1:2" ht="13.5">
      <c r="A41" s="239" t="s">
        <v>221</v>
      </c>
      <c r="B41" s="239"/>
    </row>
    <row r="42" spans="2:16" ht="13.5" customHeight="1">
      <c r="B42" s="103" t="s">
        <v>253</v>
      </c>
      <c r="C42">
        <f>C33*(C31-C38)</f>
        <v>204.44444444444446</v>
      </c>
      <c r="D42" t="s">
        <v>205</v>
      </c>
      <c r="G42" s="268" t="s">
        <v>230</v>
      </c>
      <c r="H42" s="268"/>
      <c r="I42" s="268"/>
      <c r="J42" s="268"/>
      <c r="K42" s="268"/>
      <c r="L42" s="268"/>
      <c r="M42" s="268"/>
      <c r="N42" s="268"/>
      <c r="O42" s="268"/>
      <c r="P42" s="268"/>
    </row>
    <row r="43" spans="1:16" ht="13.5" customHeight="1">
      <c r="A43" s="239" t="s">
        <v>220</v>
      </c>
      <c r="B43" s="239"/>
      <c r="G43" s="268"/>
      <c r="H43" s="268"/>
      <c r="I43" s="268"/>
      <c r="J43" s="268"/>
      <c r="K43" s="268"/>
      <c r="L43" s="268"/>
      <c r="M43" s="268"/>
      <c r="N43" s="268"/>
      <c r="O43" s="268"/>
      <c r="P43" s="268"/>
    </row>
    <row r="44" spans="2:16" ht="13.5" customHeight="1">
      <c r="B44" t="s">
        <v>224</v>
      </c>
      <c r="C44" s="103">
        <f>MIN((0.85*(2+4/N5)*(C19)^0.5*C40*C17)/1000,(0.85*(C2*C17/C40+2)*(C19)^0.5*C40*C17)/1000,0.85*4*C19^0.5*C40*C17/1000)</f>
        <v>212.41092853240858</v>
      </c>
      <c r="D44" t="s">
        <v>205</v>
      </c>
      <c r="G44" s="268"/>
      <c r="H44" s="268"/>
      <c r="I44" s="268"/>
      <c r="J44" s="268"/>
      <c r="K44" s="268"/>
      <c r="L44" s="268"/>
      <c r="M44" s="268"/>
      <c r="N44" s="268"/>
      <c r="O44" s="268"/>
      <c r="P44" s="268"/>
    </row>
    <row r="46" spans="1:6" ht="16.5">
      <c r="A46" s="269" t="s">
        <v>234</v>
      </c>
      <c r="B46" s="269"/>
      <c r="C46" s="269"/>
      <c r="D46" s="269"/>
      <c r="E46" s="269"/>
      <c r="F46" s="269"/>
    </row>
    <row r="48" ht="13.5">
      <c r="A48" s="64" t="s">
        <v>232</v>
      </c>
    </row>
    <row r="49" spans="1:4" ht="13.5">
      <c r="A49" s="64"/>
      <c r="C49">
        <f>C30*12/2-C3/2-C17</f>
        <v>18.5</v>
      </c>
      <c r="D49" s="64" t="s">
        <v>15</v>
      </c>
    </row>
    <row r="50" ht="13.5">
      <c r="A50" s="64" t="s">
        <v>231</v>
      </c>
    </row>
    <row r="51" spans="2:16" ht="13.5" customHeight="1">
      <c r="B51" s="64" t="s">
        <v>217</v>
      </c>
      <c r="C51">
        <f>C33*C30*C49/12</f>
        <v>59.09722222222223</v>
      </c>
      <c r="D51" s="64" t="s">
        <v>205</v>
      </c>
      <c r="G51" s="268" t="s">
        <v>230</v>
      </c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ht="13.5" customHeight="1">
      <c r="A52" s="64" t="s">
        <v>233</v>
      </c>
      <c r="G52" s="268"/>
      <c r="H52" s="268"/>
      <c r="I52" s="268"/>
      <c r="J52" s="268"/>
      <c r="K52" s="268"/>
      <c r="L52" s="268"/>
      <c r="M52" s="268"/>
      <c r="N52" s="268"/>
      <c r="O52" s="268"/>
      <c r="P52" s="268"/>
    </row>
    <row r="53" spans="2:16" ht="13.5" customHeight="1">
      <c r="B53" s="64" t="s">
        <v>224</v>
      </c>
      <c r="C53" s="103">
        <f>0.85*2*C19^0.5*C30*12*C17/1000</f>
        <v>79.6540981996532</v>
      </c>
      <c r="D53" s="64" t="s">
        <v>205</v>
      </c>
      <c r="G53" s="268"/>
      <c r="H53" s="268"/>
      <c r="I53" s="268"/>
      <c r="J53" s="268"/>
      <c r="K53" s="268"/>
      <c r="L53" s="268"/>
      <c r="M53" s="268"/>
      <c r="N53" s="268"/>
      <c r="O53" s="268"/>
      <c r="P53" s="268"/>
    </row>
    <row r="56" spans="1:6" ht="16.5">
      <c r="A56" s="269" t="s">
        <v>237</v>
      </c>
      <c r="B56" s="269"/>
      <c r="C56" s="269"/>
      <c r="D56" s="269"/>
      <c r="E56" s="269"/>
      <c r="F56" s="269"/>
    </row>
    <row r="58" ht="13.5">
      <c r="A58" s="64" t="s">
        <v>240</v>
      </c>
    </row>
    <row r="59" spans="2:4" ht="17.25" customHeight="1">
      <c r="B59" s="64" t="s">
        <v>235</v>
      </c>
      <c r="C59">
        <f>C33*C30*(C30/2-C3/24)^2/2</f>
        <v>115.83188657407409</v>
      </c>
      <c r="D59" s="64" t="s">
        <v>236</v>
      </c>
    </row>
    <row r="61" spans="1:2" ht="13.5">
      <c r="A61" s="252" t="s">
        <v>238</v>
      </c>
      <c r="B61" s="252"/>
    </row>
    <row r="62" spans="1:4" ht="13.5">
      <c r="A62" s="68"/>
      <c r="B62" s="68" t="s">
        <v>73</v>
      </c>
      <c r="C62">
        <f>0.2*C16</f>
        <v>3</v>
      </c>
      <c r="D62" s="64" t="s">
        <v>15</v>
      </c>
    </row>
    <row r="63" spans="2:4" ht="13.5">
      <c r="B63" s="64" t="s">
        <v>101</v>
      </c>
      <c r="C63">
        <f>C59*12000/(0.9*C20*(C17-C62/2))</f>
        <v>2.709517814598224</v>
      </c>
      <c r="D63" s="64" t="s">
        <v>116</v>
      </c>
    </row>
    <row r="64" spans="2:4" ht="13.5">
      <c r="B64" s="64" t="s">
        <v>73</v>
      </c>
      <c r="C64">
        <f>C63*C20/(0.85*C19*C30*12)</f>
        <v>0.7589685755177097</v>
      </c>
      <c r="D64" s="64" t="s">
        <v>15</v>
      </c>
    </row>
    <row r="65" spans="2:4" ht="13.5">
      <c r="B65" s="64" t="s">
        <v>101</v>
      </c>
      <c r="C65">
        <f>C59*12000/(0.9*C20*(C17-C64/2))</f>
        <v>2.42365059627141</v>
      </c>
      <c r="D65" s="64" t="s">
        <v>116</v>
      </c>
    </row>
    <row r="66" spans="2:4" ht="13.5">
      <c r="B66" s="64" t="s">
        <v>73</v>
      </c>
      <c r="C66">
        <f>C65*C20/(0.85*C19*C30*12)</f>
        <v>0.678893724445773</v>
      </c>
      <c r="D66" s="64" t="s">
        <v>15</v>
      </c>
    </row>
    <row r="67" spans="2:4" ht="13.5">
      <c r="B67" s="64" t="s">
        <v>101</v>
      </c>
      <c r="C67">
        <f>C59*12000/(0.9*C20*(C17-C66/2))</f>
        <v>2.41454818582241</v>
      </c>
      <c r="D67" s="64" t="s">
        <v>116</v>
      </c>
    </row>
    <row r="68" spans="2:4" ht="13.5">
      <c r="B68" s="64" t="s">
        <v>73</v>
      </c>
      <c r="C68">
        <f>C67*C20/(0.85*C19*C30*12)</f>
        <v>0.6763440296421316</v>
      </c>
      <c r="D68" s="64" t="s">
        <v>15</v>
      </c>
    </row>
    <row r="69" spans="2:7" ht="13.5">
      <c r="B69" s="64" t="s">
        <v>101</v>
      </c>
      <c r="C69">
        <f>C59*12000/(0.9*C20*(C17-C68/2))</f>
        <v>2.414259475435641</v>
      </c>
      <c r="D69" s="64" t="s">
        <v>116</v>
      </c>
      <c r="E69" s="64" t="s">
        <v>239</v>
      </c>
      <c r="F69">
        <f>0.0018*C30*12*C16</f>
        <v>1.944</v>
      </c>
      <c r="G69" s="64" t="s">
        <v>116</v>
      </c>
    </row>
    <row r="70" spans="2:4" ht="13.5">
      <c r="B70" s="64"/>
      <c r="D70" s="64"/>
    </row>
    <row r="71" spans="1:3" ht="13.5">
      <c r="A71" s="265" t="s">
        <v>241</v>
      </c>
      <c r="B71" s="265"/>
      <c r="C71" s="265"/>
    </row>
    <row r="72" spans="1:3" ht="13.5">
      <c r="A72" s="87"/>
      <c r="B72" s="97" t="s">
        <v>242</v>
      </c>
      <c r="C72" s="99">
        <v>0.9</v>
      </c>
    </row>
    <row r="73" spans="2:4" ht="13.5">
      <c r="B73" s="64"/>
      <c r="D73" s="64"/>
    </row>
    <row r="74" spans="1:18" ht="15.75">
      <c r="A74" s="104" t="s">
        <v>244</v>
      </c>
      <c r="B74" s="266" t="s">
        <v>245</v>
      </c>
      <c r="C74" s="266"/>
      <c r="D74" s="266" t="s">
        <v>255</v>
      </c>
      <c r="E74" s="266"/>
      <c r="F74" s="273" t="s">
        <v>246</v>
      </c>
      <c r="G74" s="273"/>
      <c r="H74" s="273"/>
      <c r="I74" s="108"/>
      <c r="J74" s="108"/>
      <c r="K74" s="108"/>
      <c r="L74" s="104" t="s">
        <v>101</v>
      </c>
      <c r="M74" s="104" t="s">
        <v>243</v>
      </c>
      <c r="N74" s="105"/>
      <c r="O74" s="101"/>
      <c r="P74" s="101"/>
      <c r="Q74" s="101"/>
      <c r="R74" s="101"/>
    </row>
    <row r="75" spans="1:18" ht="15.75">
      <c r="A75" s="98">
        <v>6</v>
      </c>
      <c r="B75" s="264">
        <f>(A75/9)^2</f>
        <v>0.4444444444444444</v>
      </c>
      <c r="C75" s="264"/>
      <c r="D75" s="271">
        <f>12*B75/MAX(C69,F69)</f>
        <v>2.209096987129339</v>
      </c>
      <c r="E75" s="271"/>
      <c r="F75" s="106">
        <v>7</v>
      </c>
      <c r="G75" s="109" t="s">
        <v>256</v>
      </c>
      <c r="H75" s="110">
        <f>A75</f>
        <v>6</v>
      </c>
      <c r="I75" s="111" t="s">
        <v>257</v>
      </c>
      <c r="J75" s="111">
        <v>3</v>
      </c>
      <c r="K75" s="112" t="s">
        <v>258</v>
      </c>
      <c r="L75" s="82">
        <f>(H75/9)^2*F75</f>
        <v>3.1111111111111107</v>
      </c>
      <c r="M75" s="100">
        <f>C72*L75*C20*(C17-C68/2)/12000</f>
        <v>149.2655917925051</v>
      </c>
      <c r="N75" s="64" t="s">
        <v>236</v>
      </c>
      <c r="O75" s="267" t="s">
        <v>247</v>
      </c>
      <c r="P75" s="275">
        <f>C59</f>
        <v>115.83188657407409</v>
      </c>
      <c r="Q75" s="275"/>
      <c r="R75" s="263" t="s">
        <v>236</v>
      </c>
    </row>
    <row r="76" spans="1:18" ht="15.75">
      <c r="A76" s="98">
        <v>8</v>
      </c>
      <c r="B76" s="264">
        <f>(A76/9)^2</f>
        <v>0.7901234567901234</v>
      </c>
      <c r="C76" s="264"/>
      <c r="D76" s="271">
        <f>12*B76/MAX(C69,F69)</f>
        <v>3.9272835326743807</v>
      </c>
      <c r="E76" s="272"/>
      <c r="F76" s="107">
        <v>4</v>
      </c>
      <c r="G76" s="109" t="s">
        <v>256</v>
      </c>
      <c r="H76" s="113">
        <f>A76</f>
        <v>8</v>
      </c>
      <c r="I76" s="111" t="s">
        <v>257</v>
      </c>
      <c r="J76" s="111">
        <v>5</v>
      </c>
      <c r="K76" s="112" t="s">
        <v>258</v>
      </c>
      <c r="L76" s="82">
        <f>(H76/9)^2*F76</f>
        <v>3.1604938271604937</v>
      </c>
      <c r="M76" s="100">
        <f>C72*L76*C20*(C17-C68/2)/12000</f>
        <v>151.63488690032264</v>
      </c>
      <c r="N76" s="64" t="s">
        <v>236</v>
      </c>
      <c r="O76" s="267"/>
      <c r="P76" s="275"/>
      <c r="Q76" s="275"/>
      <c r="R76" s="263"/>
    </row>
    <row r="77" spans="1:18" ht="15.75">
      <c r="A77" s="98">
        <v>9</v>
      </c>
      <c r="B77" s="264">
        <f>(A77/9)^2</f>
        <v>1</v>
      </c>
      <c r="C77" s="264"/>
      <c r="D77" s="271">
        <f>12*B77/MAX(C69,F69)</f>
        <v>4.970468221041013</v>
      </c>
      <c r="E77" s="272"/>
      <c r="F77" s="107">
        <v>3</v>
      </c>
      <c r="G77" s="109" t="s">
        <v>256</v>
      </c>
      <c r="H77" s="113">
        <f>A77</f>
        <v>9</v>
      </c>
      <c r="I77" s="111" t="s">
        <v>257</v>
      </c>
      <c r="J77" s="111">
        <v>6</v>
      </c>
      <c r="K77" s="112" t="s">
        <v>258</v>
      </c>
      <c r="L77" s="82">
        <f>(H77/9)^2*F77</f>
        <v>3</v>
      </c>
      <c r="M77" s="100">
        <f>C72*L77*C20*(C17-C68/2)/12000</f>
        <v>143.93467779991562</v>
      </c>
      <c r="N77" s="64" t="s">
        <v>236</v>
      </c>
      <c r="O77" s="267"/>
      <c r="P77" s="275"/>
      <c r="Q77" s="275"/>
      <c r="R77" s="263"/>
    </row>
    <row r="78" spans="1:18" ht="15.75">
      <c r="A78" s="98">
        <v>11</v>
      </c>
      <c r="B78" s="264">
        <f>(A78/9)^2</f>
        <v>1.4938271604938274</v>
      </c>
      <c r="C78" s="264"/>
      <c r="D78" s="271">
        <f>12*B78/MAX(C69,F69)</f>
        <v>7.425020428962502</v>
      </c>
      <c r="E78" s="272"/>
      <c r="F78" s="107">
        <v>2</v>
      </c>
      <c r="G78" s="109" t="s">
        <v>256</v>
      </c>
      <c r="H78" s="113">
        <f>A78</f>
        <v>11</v>
      </c>
      <c r="I78" s="111" t="s">
        <v>257</v>
      </c>
      <c r="J78" s="111">
        <v>9</v>
      </c>
      <c r="K78" s="112" t="s">
        <v>258</v>
      </c>
      <c r="L78" s="82">
        <f>(H78/9)^2*F78</f>
        <v>2.9876543209876547</v>
      </c>
      <c r="M78" s="100">
        <f>C72*L78*C20*(C17-C68/2)/12000</f>
        <v>143.34235402296125</v>
      </c>
      <c r="N78" s="64" t="s">
        <v>236</v>
      </c>
      <c r="O78" s="267"/>
      <c r="P78" s="275"/>
      <c r="Q78" s="275"/>
      <c r="R78" s="263"/>
    </row>
    <row r="79" spans="2:4" ht="13.5" customHeight="1">
      <c r="B79" s="64"/>
      <c r="D79" s="64"/>
    </row>
    <row r="81" spans="1:3" ht="13.5">
      <c r="A81" s="87"/>
      <c r="B81" s="87"/>
      <c r="C81" s="83"/>
    </row>
    <row r="82" spans="1:2" ht="13.5">
      <c r="A82" s="64"/>
      <c r="B82" s="64"/>
    </row>
    <row r="83" ht="13.5">
      <c r="B83" s="64"/>
    </row>
    <row r="84" spans="1:2" ht="13.5">
      <c r="A84" t="s">
        <v>325</v>
      </c>
      <c r="B84" s="64"/>
    </row>
    <row r="85" ht="13.5">
      <c r="B85" s="64"/>
    </row>
    <row r="86" spans="2:4" ht="13.5">
      <c r="B86" s="64"/>
      <c r="C86">
        <f>MIN(0.75*0.85*C19*C3*C4*(C31/C3/C4)^0.5/1000,1.7*C19*C3*C4/1000)</f>
        <v>174.0375</v>
      </c>
      <c r="D86" t="s">
        <v>205</v>
      </c>
    </row>
    <row r="87" ht="13.5">
      <c r="B87" s="64"/>
    </row>
    <row r="88" spans="1:4" ht="13.5">
      <c r="A88" s="239" t="s">
        <v>326</v>
      </c>
      <c r="B88" s="239"/>
      <c r="C88" s="239"/>
      <c r="D88" s="239"/>
    </row>
    <row r="89" ht="13.5">
      <c r="B89" s="64"/>
    </row>
    <row r="90" spans="2:14" ht="16.5">
      <c r="B90" s="64"/>
      <c r="C90" s="189">
        <f>0.7*0.85*C19/1000*C3*C4</f>
        <v>351.9425</v>
      </c>
      <c r="D90" s="190" t="s">
        <v>205</v>
      </c>
      <c r="E90" s="276" t="s">
        <v>327</v>
      </c>
      <c r="F90" s="276"/>
      <c r="G90" s="276"/>
      <c r="H90" s="276"/>
      <c r="I90" s="189">
        <f>C8</f>
        <v>230</v>
      </c>
      <c r="J90" s="190" t="s">
        <v>205</v>
      </c>
      <c r="K90" s="269" t="s">
        <v>328</v>
      </c>
      <c r="L90" s="269"/>
      <c r="M90" s="269"/>
      <c r="N90" s="269"/>
    </row>
    <row r="91" ht="13.5">
      <c r="B91" s="64"/>
    </row>
    <row r="92" spans="1:3" ht="13.5">
      <c r="A92" s="67"/>
      <c r="B92" s="67"/>
      <c r="C92" s="67"/>
    </row>
    <row r="95" ht="13.5">
      <c r="A95" s="64"/>
    </row>
  </sheetData>
  <sheetProtection/>
  <mergeCells count="32">
    <mergeCell ref="E90:H90"/>
    <mergeCell ref="K90:N90"/>
    <mergeCell ref="D75:E75"/>
    <mergeCell ref="D74:E74"/>
    <mergeCell ref="A88:D88"/>
    <mergeCell ref="B78:C78"/>
    <mergeCell ref="A41:B41"/>
    <mergeCell ref="A46:F46"/>
    <mergeCell ref="A43:B43"/>
    <mergeCell ref="P75:Q78"/>
    <mergeCell ref="A61:B61"/>
    <mergeCell ref="B77:C77"/>
    <mergeCell ref="A1:F1"/>
    <mergeCell ref="D76:E76"/>
    <mergeCell ref="D77:E77"/>
    <mergeCell ref="D78:E78"/>
    <mergeCell ref="F74:H74"/>
    <mergeCell ref="A14:G14"/>
    <mergeCell ref="A26:B26"/>
    <mergeCell ref="A32:C32"/>
    <mergeCell ref="A39:B39"/>
    <mergeCell ref="A56:F56"/>
    <mergeCell ref="R75:R78"/>
    <mergeCell ref="B75:C75"/>
    <mergeCell ref="B76:C76"/>
    <mergeCell ref="A24:B24"/>
    <mergeCell ref="A71:C71"/>
    <mergeCell ref="B74:C74"/>
    <mergeCell ref="O75:O78"/>
    <mergeCell ref="G51:P53"/>
    <mergeCell ref="G42:P44"/>
    <mergeCell ref="A35:F3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I24" sqref="I24"/>
    </sheetView>
  </sheetViews>
  <sheetFormatPr defaultColWidth="9.00390625" defaultRowHeight="13.5"/>
  <cols>
    <col min="2" max="2" width="10.875" style="0" bestFit="1" customWidth="1"/>
    <col min="4" max="4" width="11.875" style="0" bestFit="1" customWidth="1"/>
    <col min="5" max="5" width="3.875" style="0" bestFit="1" customWidth="1"/>
    <col min="6" max="7" width="1.875" style="0" bestFit="1" customWidth="1"/>
  </cols>
  <sheetData>
    <row r="2" spans="2:3" ht="13.5">
      <c r="B2" t="s">
        <v>193</v>
      </c>
      <c r="C2">
        <v>12</v>
      </c>
    </row>
    <row r="3" spans="2:3" ht="13.5">
      <c r="B3" t="s">
        <v>193</v>
      </c>
      <c r="C3">
        <v>12</v>
      </c>
    </row>
    <row r="4" spans="2:3" ht="13.5">
      <c r="B4" t="s">
        <v>70</v>
      </c>
      <c r="C4">
        <v>3500</v>
      </c>
    </row>
    <row r="5" spans="2:3" ht="13.5">
      <c r="B5" t="s">
        <v>5</v>
      </c>
      <c r="C5">
        <v>60000</v>
      </c>
    </row>
    <row r="6" spans="2:3" ht="13.5">
      <c r="B6" t="s">
        <v>329</v>
      </c>
      <c r="C6">
        <v>225</v>
      </c>
    </row>
    <row r="7" spans="2:3" ht="13.5">
      <c r="B7" t="s">
        <v>242</v>
      </c>
      <c r="C7">
        <v>0.65</v>
      </c>
    </row>
    <row r="8" spans="2:3" ht="13.5">
      <c r="B8" t="s">
        <v>113</v>
      </c>
      <c r="C8">
        <f>0.31*8</f>
        <v>2.48</v>
      </c>
    </row>
    <row r="9" spans="2:3" ht="13.5">
      <c r="B9" t="s">
        <v>330</v>
      </c>
      <c r="C9">
        <f>0.8*C7*(0.85*C4*(C2*C3-C8)+C8*C5)/1000</f>
        <v>296.30744</v>
      </c>
    </row>
    <row r="11" spans="2:5" ht="13.5">
      <c r="B11" t="s">
        <v>244</v>
      </c>
      <c r="C11" t="s">
        <v>331</v>
      </c>
      <c r="D11" t="s">
        <v>289</v>
      </c>
      <c r="E11" t="s">
        <v>332</v>
      </c>
    </row>
    <row r="12" spans="2:8" ht="13.5">
      <c r="B12">
        <v>5</v>
      </c>
      <c r="C12">
        <f>(B12/9)^2</f>
        <v>0.308641975308642</v>
      </c>
      <c r="D12">
        <f>C8/C12</f>
        <v>8.0352</v>
      </c>
      <c r="F12" t="s">
        <v>256</v>
      </c>
      <c r="G12">
        <v>6</v>
      </c>
      <c r="H12" t="s">
        <v>333</v>
      </c>
    </row>
    <row r="13" spans="2:4" ht="13.5">
      <c r="B13">
        <v>8</v>
      </c>
      <c r="C13">
        <f>(B13/9)^2</f>
        <v>0.7901234567901234</v>
      </c>
      <c r="D13">
        <f>C8/C13</f>
        <v>3.1387500000000004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1">
      <selection activeCell="A62" sqref="A62"/>
    </sheetView>
  </sheetViews>
  <sheetFormatPr defaultColWidth="9.00390625" defaultRowHeight="13.5"/>
  <cols>
    <col min="1" max="1" width="58.375" style="0" bestFit="1" customWidth="1"/>
  </cols>
  <sheetData>
    <row r="1" ht="13.5">
      <c r="A1" t="s">
        <v>343</v>
      </c>
    </row>
    <row r="2" spans="1:3" ht="13.5">
      <c r="A2" t="s">
        <v>193</v>
      </c>
      <c r="B2" s="196">
        <v>16</v>
      </c>
      <c r="C2" t="s">
        <v>15</v>
      </c>
    </row>
    <row r="3" spans="1:3" ht="13.5">
      <c r="A3" t="s">
        <v>194</v>
      </c>
      <c r="B3" s="196">
        <v>24</v>
      </c>
      <c r="C3" t="s">
        <v>15</v>
      </c>
    </row>
    <row r="4" spans="1:3" ht="13.5">
      <c r="A4" s="103" t="s">
        <v>252</v>
      </c>
      <c r="B4" s="196">
        <f>200+150</f>
        <v>350</v>
      </c>
      <c r="C4" t="s">
        <v>205</v>
      </c>
    </row>
    <row r="5" spans="1:3" ht="13.5">
      <c r="A5" s="103" t="s">
        <v>249</v>
      </c>
      <c r="B5" s="196">
        <f>1.4*200+1.7*150</f>
        <v>535</v>
      </c>
      <c r="C5" s="103" t="s">
        <v>205</v>
      </c>
    </row>
    <row r="6" ht="13.5">
      <c r="A6" t="s">
        <v>344</v>
      </c>
    </row>
    <row r="7" spans="1:3" ht="13.5">
      <c r="A7" t="s">
        <v>193</v>
      </c>
      <c r="B7" s="196">
        <v>24</v>
      </c>
      <c r="C7" t="s">
        <v>15</v>
      </c>
    </row>
    <row r="8" spans="1:3" ht="13.5">
      <c r="A8" t="s">
        <v>194</v>
      </c>
      <c r="B8" s="196">
        <v>24</v>
      </c>
      <c r="C8" t="s">
        <v>15</v>
      </c>
    </row>
    <row r="9" spans="1:3" ht="13.5">
      <c r="A9" s="103" t="s">
        <v>252</v>
      </c>
      <c r="B9" s="196">
        <f>300+225</f>
        <v>525</v>
      </c>
      <c r="C9" t="s">
        <v>205</v>
      </c>
    </row>
    <row r="10" spans="1:3" ht="13.5">
      <c r="A10" s="103" t="s">
        <v>249</v>
      </c>
      <c r="B10" s="196">
        <f>1.4*300+1.7*225</f>
        <v>802.5</v>
      </c>
      <c r="C10" s="103" t="s">
        <v>205</v>
      </c>
    </row>
    <row r="11" spans="1:3" ht="13.5">
      <c r="A11" t="s">
        <v>345</v>
      </c>
      <c r="B11" s="196">
        <v>20</v>
      </c>
      <c r="C11" t="s">
        <v>13</v>
      </c>
    </row>
    <row r="12" spans="1:3" ht="13.5">
      <c r="A12" t="s">
        <v>346</v>
      </c>
      <c r="B12" s="196">
        <v>5000</v>
      </c>
      <c r="C12" t="s">
        <v>199</v>
      </c>
    </row>
    <row r="13" spans="1:3" ht="13.5">
      <c r="A13" t="s">
        <v>251</v>
      </c>
      <c r="B13" s="196">
        <v>4</v>
      </c>
      <c r="C13" t="s">
        <v>13</v>
      </c>
    </row>
    <row r="14" spans="1:3" ht="13.5">
      <c r="A14" t="s">
        <v>347</v>
      </c>
      <c r="B14" s="196">
        <v>120</v>
      </c>
      <c r="C14" t="s">
        <v>92</v>
      </c>
    </row>
    <row r="15" spans="1:3" ht="13.5">
      <c r="A15" t="s">
        <v>196</v>
      </c>
      <c r="B15" s="196">
        <v>5</v>
      </c>
      <c r="C15" t="s">
        <v>15</v>
      </c>
    </row>
    <row r="16" spans="1:3" ht="13.5">
      <c r="A16" s="103" t="s">
        <v>349</v>
      </c>
      <c r="B16" s="196">
        <v>150</v>
      </c>
      <c r="C16" s="103" t="s">
        <v>92</v>
      </c>
    </row>
    <row r="17" spans="1:3" ht="13.5">
      <c r="A17" t="s">
        <v>70</v>
      </c>
      <c r="B17" s="196">
        <v>3000</v>
      </c>
      <c r="C17" t="s">
        <v>91</v>
      </c>
    </row>
    <row r="18" spans="1:3" ht="13.5">
      <c r="A18" t="s">
        <v>5</v>
      </c>
      <c r="B18" s="196">
        <v>60000</v>
      </c>
      <c r="C18" t="s">
        <v>91</v>
      </c>
    </row>
    <row r="19" spans="1:3" ht="13.5">
      <c r="A19" s="103" t="s">
        <v>370</v>
      </c>
      <c r="B19" s="196">
        <v>3.5</v>
      </c>
      <c r="C19" s="103" t="s">
        <v>15</v>
      </c>
    </row>
    <row r="21" spans="1:4" ht="13.5">
      <c r="A21" s="277" t="s">
        <v>348</v>
      </c>
      <c r="B21" s="277"/>
      <c r="C21" s="277"/>
      <c r="D21" s="277"/>
    </row>
    <row r="22" spans="1:4" ht="13.5">
      <c r="A22" s="103" t="s">
        <v>353</v>
      </c>
      <c r="B22">
        <v>4.34</v>
      </c>
      <c r="C22" s="103" t="s">
        <v>208</v>
      </c>
      <c r="D22" t="s">
        <v>350</v>
      </c>
    </row>
    <row r="23" spans="1:3" ht="13.5">
      <c r="A23" s="103" t="s">
        <v>207</v>
      </c>
      <c r="B23">
        <f>(B4+B9)/B22</f>
        <v>201.61290322580646</v>
      </c>
      <c r="C23" s="103" t="s">
        <v>209</v>
      </c>
    </row>
    <row r="24" spans="1:3" ht="13.5">
      <c r="A24" s="103" t="s">
        <v>351</v>
      </c>
      <c r="B24">
        <f>(0.5*B2*B4+(0.5*B2+B11*12)*B9)/(B4+B9)</f>
        <v>152</v>
      </c>
      <c r="C24" s="103" t="s">
        <v>15</v>
      </c>
    </row>
    <row r="25" spans="1:3" ht="13.5">
      <c r="A25" s="103" t="s">
        <v>352</v>
      </c>
      <c r="B25">
        <f>B24*2/12</f>
        <v>25.333333333333332</v>
      </c>
      <c r="C25" s="103" t="s">
        <v>209</v>
      </c>
    </row>
    <row r="26" spans="1:6" ht="13.5">
      <c r="A26" s="103" t="s">
        <v>355</v>
      </c>
      <c r="B26">
        <f>B23/B25</f>
        <v>7.958404074702887</v>
      </c>
      <c r="C26" s="103" t="s">
        <v>209</v>
      </c>
      <c r="D26" s="195" t="s">
        <v>203</v>
      </c>
      <c r="E26" s="196">
        <v>8</v>
      </c>
      <c r="F26" s="103" t="s">
        <v>13</v>
      </c>
    </row>
    <row r="27" spans="1:3" ht="13.5">
      <c r="A27" s="103" t="s">
        <v>354</v>
      </c>
      <c r="B27">
        <f>(B5+B10)/(B25*E26)</f>
        <v>6.599506578947369</v>
      </c>
      <c r="C27" s="103" t="s">
        <v>208</v>
      </c>
    </row>
    <row r="28" ht="13.5">
      <c r="A28" s="198" t="s">
        <v>356</v>
      </c>
    </row>
    <row r="29" spans="2:3" ht="13.5">
      <c r="B29">
        <f>B27*E26*B2/24</f>
        <v>35.19736842105264</v>
      </c>
      <c r="C29" s="103" t="s">
        <v>205</v>
      </c>
    </row>
    <row r="30" spans="2:3" ht="13.5">
      <c r="B30">
        <f>B29-B5</f>
        <v>-499.80263157894734</v>
      </c>
      <c r="C30" s="103" t="s">
        <v>205</v>
      </c>
    </row>
    <row r="31" spans="2:3" ht="13.5">
      <c r="B31">
        <f>B30+B27*B11*E26</f>
        <v>556.1184210526317</v>
      </c>
      <c r="C31" s="103" t="s">
        <v>205</v>
      </c>
    </row>
    <row r="32" spans="2:3" ht="13.5">
      <c r="B32">
        <f>B31-B10</f>
        <v>-246.38157894736833</v>
      </c>
      <c r="C32" s="103" t="s">
        <v>205</v>
      </c>
    </row>
    <row r="33" spans="2:3" ht="13.5">
      <c r="B33">
        <f>B32+B27*E26*(B25-B2/24-B11)</f>
        <v>0</v>
      </c>
      <c r="C33" s="103" t="s">
        <v>205</v>
      </c>
    </row>
    <row r="36" ht="13.5">
      <c r="A36" s="197" t="s">
        <v>357</v>
      </c>
    </row>
    <row r="41" ht="13.5">
      <c r="A41" s="198" t="s">
        <v>364</v>
      </c>
    </row>
    <row r="42" spans="1:2" ht="13.5">
      <c r="A42" s="103" t="s">
        <v>368</v>
      </c>
      <c r="B42">
        <f>MAX(3*B17^0.5/B18,200/B18)</f>
        <v>0.0033333333333333335</v>
      </c>
    </row>
    <row r="43" spans="1:2" ht="13.5">
      <c r="A43" s="103" t="s">
        <v>367</v>
      </c>
      <c r="B43" s="196">
        <v>0.005</v>
      </c>
    </row>
    <row r="44" spans="1:3" ht="13.5">
      <c r="A44" s="103" t="s">
        <v>235</v>
      </c>
      <c r="B44" s="196">
        <v>2354</v>
      </c>
      <c r="C44" s="103" t="s">
        <v>236</v>
      </c>
    </row>
    <row r="45" spans="1:9" ht="13.5">
      <c r="A45" s="103" t="s">
        <v>365</v>
      </c>
      <c r="B45" s="196">
        <v>254</v>
      </c>
      <c r="E45" s="278" t="s">
        <v>366</v>
      </c>
      <c r="F45" s="278"/>
      <c r="G45" s="278"/>
      <c r="H45" s="278"/>
      <c r="I45" s="278"/>
    </row>
    <row r="46" spans="1:3" ht="13.5">
      <c r="A46" s="103" t="s">
        <v>210</v>
      </c>
      <c r="B46" s="196">
        <v>8</v>
      </c>
      <c r="C46" s="103" t="s">
        <v>13</v>
      </c>
    </row>
    <row r="47" spans="1:3" ht="13.5">
      <c r="A47" s="103" t="s">
        <v>128</v>
      </c>
      <c r="B47">
        <f>(B44/B45*1000/8)^0.5</f>
        <v>34.036224334216826</v>
      </c>
      <c r="C47" s="103" t="s">
        <v>15</v>
      </c>
    </row>
    <row r="48" spans="1:3" ht="13.5">
      <c r="A48" s="103" t="s">
        <v>369</v>
      </c>
      <c r="B48" s="196">
        <v>36</v>
      </c>
      <c r="C48" s="103" t="s">
        <v>15</v>
      </c>
    </row>
    <row r="49" spans="1:2" ht="13.5">
      <c r="A49" s="103" t="s">
        <v>128</v>
      </c>
      <c r="B49" s="83">
        <f>B48-B19</f>
        <v>32.5</v>
      </c>
    </row>
    <row r="52" ht="13.5">
      <c r="A52" s="103" t="s">
        <v>359</v>
      </c>
    </row>
    <row r="53" spans="1:2" ht="13.5">
      <c r="A53" s="103" t="s">
        <v>360</v>
      </c>
      <c r="B53">
        <f>B2+B49/2</f>
        <v>32.25</v>
      </c>
    </row>
    <row r="54" spans="1:2" ht="13.5">
      <c r="A54" s="103" t="s">
        <v>361</v>
      </c>
      <c r="B54">
        <f>B3+B49</f>
        <v>56.5</v>
      </c>
    </row>
    <row r="55" spans="1:2" ht="13.5">
      <c r="A55" s="103" t="s">
        <v>362</v>
      </c>
      <c r="B55">
        <f>B2+B49/2</f>
        <v>32.25</v>
      </c>
    </row>
    <row r="56" spans="1:2" ht="13.5">
      <c r="A56" s="103" t="s">
        <v>363</v>
      </c>
      <c r="B56">
        <f>B3+B49</f>
        <v>56.5</v>
      </c>
    </row>
    <row r="57" spans="1:3" ht="13.5">
      <c r="A57" s="103" t="s">
        <v>371</v>
      </c>
      <c r="B57">
        <f>(2*B49*B53*B53/2)/(B49*(2*B53+B54))</f>
        <v>8.59555785123967</v>
      </c>
      <c r="C57" s="103" t="s">
        <v>15</v>
      </c>
    </row>
    <row r="58" spans="1:3" ht="13.5">
      <c r="A58" s="103" t="s">
        <v>372</v>
      </c>
      <c r="B58">
        <f>B27*B53*B54/144</f>
        <v>83.5078189247533</v>
      </c>
      <c r="C58" s="103" t="s">
        <v>205</v>
      </c>
    </row>
    <row r="59" spans="1:3" ht="13.5">
      <c r="A59" s="103" t="s">
        <v>373</v>
      </c>
      <c r="B59">
        <f>B53/2-B57</f>
        <v>7.52944214876033</v>
      </c>
      <c r="C59" s="103" t="s">
        <v>15</v>
      </c>
    </row>
    <row r="60" spans="1:3" ht="13.5">
      <c r="A60" s="103" t="s">
        <v>374</v>
      </c>
      <c r="B60">
        <f>B53-B2/2-(B53/2-B59)</f>
        <v>15.65444214876033</v>
      </c>
      <c r="C60" s="103" t="s">
        <v>15</v>
      </c>
    </row>
    <row r="61" spans="1:3" ht="13.5">
      <c r="A61" s="199" t="s">
        <v>235</v>
      </c>
      <c r="B61">
        <f>B5*B60-B58*B59</f>
        <v>7746.359258023693</v>
      </c>
      <c r="C61" s="103" t="s">
        <v>375</v>
      </c>
    </row>
    <row r="62" spans="1:3" ht="13.5">
      <c r="A62" s="103"/>
      <c r="C62" s="103"/>
    </row>
    <row r="63" spans="1:3" ht="13.5">
      <c r="A63" s="103"/>
      <c r="C63" s="103"/>
    </row>
    <row r="64" ht="13.5">
      <c r="A64" s="198" t="s">
        <v>358</v>
      </c>
    </row>
  </sheetData>
  <sheetProtection/>
  <mergeCells count="2">
    <mergeCell ref="A21:D21"/>
    <mergeCell ref="E45:I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SCANERS WORKS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ASHRAF</dc:creator>
  <cp:keywords/>
  <dc:description/>
  <cp:lastModifiedBy>Manoj Kumar Singh</cp:lastModifiedBy>
  <cp:lastPrinted>2005-05-16T12:19:12Z</cp:lastPrinted>
  <dcterms:created xsi:type="dcterms:W3CDTF">2001-07-22T18:52:15Z</dcterms:created>
  <dcterms:modified xsi:type="dcterms:W3CDTF">2016-11-05T14:27:24Z</dcterms:modified>
  <cp:category/>
  <cp:version/>
  <cp:contentType/>
  <cp:contentStatus/>
</cp:coreProperties>
</file>